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firstSheet="20" activeTab="21"/>
  </bookViews>
  <sheets>
    <sheet name="Лист16" sheetId="21" r:id="rId1"/>
    <sheet name="Двоеборье люб" sheetId="20" r:id="rId2"/>
    <sheet name="ПРО присед б.э." sheetId="19" r:id="rId3"/>
    <sheet name="Люб. присед б.э." sheetId="18" r:id="rId4"/>
    <sheet name="Люб. тяга софт экип." sheetId="17" r:id="rId5"/>
    <sheet name="ПРО тяга б.э." sheetId="16" r:id="rId6"/>
    <sheet name="Люб. тяга б.э." sheetId="15" r:id="rId7"/>
    <sheet name="ПРО жим софт мн.петельная" sheetId="14" r:id="rId8"/>
    <sheet name="Люб. жим 1 петельная" sheetId="13" r:id="rId9"/>
    <sheet name="ПРО жим б.э." sheetId="12" r:id="rId10"/>
    <sheet name="Люб. жим б.э." sheetId="11" r:id="rId11"/>
    <sheet name="Люб. жим 1.слой" sheetId="10" r:id="rId12"/>
    <sheet name="Люб. жим мн.слой" sheetId="9" r:id="rId13"/>
    <sheet name="Люб. Военный жим класс." sheetId="8" r:id="rId14"/>
    <sheet name="ПРО ПЛ. б.э." sheetId="7" r:id="rId15"/>
    <sheet name="Люб. ПЛ. б.э." sheetId="6" r:id="rId16"/>
    <sheet name="Люб. ПЛ. софт стандарт" sheetId="5" r:id="rId17"/>
    <sheet name="Любители В.Ж. м.повт. 1_2" sheetId="22" r:id="rId18"/>
    <sheet name="Проф. народный жим 1 вес" sheetId="23" r:id="rId19"/>
    <sheet name="Люб. народный жим 1_2 вес" sheetId="24" r:id="rId20"/>
    <sheet name="Пауэрспорт Любители" sheetId="25" r:id="rId21"/>
    <sheet name="Бицепс Любители" sheetId="26" r:id="rId22"/>
    <sheet name="Жим стоя Любители" sheetId="27" r:id="rId23"/>
    <sheet name="Русская тяга проф. 125 кг." sheetId="28" r:id="rId24"/>
    <sheet name="Русская тяга люб. 100 кг." sheetId="29" r:id="rId25"/>
    <sheet name="Русская тяга люб. 75 кг." sheetId="30" r:id="rId26"/>
    <sheet name="Русская тяга люб. 55 кг." sheetId="31" r:id="rId27"/>
    <sheet name="РБ Проф 50 кг." sheetId="32" r:id="rId28"/>
    <sheet name="РБ Проф 30 кг." sheetId="33" r:id="rId29"/>
    <sheet name="РЖ любители 55 кг." sheetId="34" r:id="rId30"/>
  </sheets>
  <definedNames>
    <definedName name="_FilterDatabase" localSheetId="22" hidden="1">'Жим стоя Любители'!$A$1:$K$3</definedName>
    <definedName name="_FilterDatabase" localSheetId="19" hidden="1">'Люб. народный жим 1_2 вес'!$A$1:$I$3</definedName>
    <definedName name="_FilterDatabase" localSheetId="16" hidden="1">'Люб. ПЛ. софт стандарт'!$A$1:$S$3</definedName>
    <definedName name="_FilterDatabase" localSheetId="29" hidden="1">'РЖ любители 55 кг.'!$A$1:$I$3</definedName>
  </definedNames>
  <calcPr calcId="162913" refMode="R1C1"/>
</workbook>
</file>

<file path=xl/calcChain.xml><?xml version="1.0" encoding="utf-8"?>
<calcChain xmlns="http://schemas.openxmlformats.org/spreadsheetml/2006/main">
  <c r="D6" i="34" l="1"/>
  <c r="I6" i="34"/>
  <c r="J6" i="34"/>
  <c r="D6" i="33"/>
  <c r="I6" i="33"/>
  <c r="J6" i="33"/>
  <c r="D6" i="32"/>
  <c r="I6" i="32"/>
  <c r="J6" i="32"/>
  <c r="D7" i="32"/>
  <c r="I7" i="32"/>
  <c r="J7" i="32"/>
  <c r="D8" i="32"/>
  <c r="I8" i="32"/>
  <c r="J8" i="32"/>
  <c r="D9" i="32"/>
  <c r="I9" i="32"/>
  <c r="J9" i="32"/>
  <c r="D10" i="32"/>
  <c r="I10" i="32"/>
  <c r="J10" i="32"/>
  <c r="D11" i="32"/>
  <c r="I11" i="32"/>
  <c r="J11" i="32"/>
  <c r="D12" i="32"/>
  <c r="I12" i="32"/>
  <c r="J12" i="32"/>
  <c r="D13" i="32"/>
  <c r="I13" i="32"/>
  <c r="J13" i="32"/>
  <c r="D6" i="31"/>
  <c r="I6" i="31"/>
  <c r="J6" i="31"/>
  <c r="D7" i="31"/>
  <c r="I7" i="31"/>
  <c r="J7" i="31"/>
  <c r="D8" i="31"/>
  <c r="I8" i="31"/>
  <c r="J8" i="31"/>
  <c r="D9" i="31"/>
  <c r="I9" i="31"/>
  <c r="J9" i="31"/>
  <c r="D6" i="30"/>
  <c r="I6" i="30"/>
  <c r="J6" i="30"/>
  <c r="D6" i="29"/>
  <c r="I6" i="29"/>
  <c r="J6" i="29"/>
  <c r="D9" i="29"/>
  <c r="I9" i="29"/>
  <c r="J9" i="29"/>
  <c r="D10" i="29"/>
  <c r="I10" i="29"/>
  <c r="J10" i="29"/>
  <c r="D11" i="29"/>
  <c r="I11" i="29"/>
  <c r="J11" i="29"/>
  <c r="D12" i="29"/>
  <c r="I12" i="29"/>
  <c r="J12" i="29"/>
  <c r="D6" i="28"/>
  <c r="I6" i="28"/>
  <c r="J6" i="28"/>
  <c r="D6" i="27" l="1"/>
  <c r="K6" i="27"/>
  <c r="L6" i="27"/>
  <c r="D7" i="27"/>
  <c r="K7" i="27"/>
  <c r="L7" i="27"/>
  <c r="D10" i="27"/>
  <c r="K10" i="27"/>
  <c r="L10" i="27"/>
  <c r="D11" i="27"/>
  <c r="K11" i="27"/>
  <c r="L11" i="27"/>
  <c r="D14" i="27"/>
  <c r="K14" i="27"/>
  <c r="L14" i="27"/>
  <c r="D17" i="27"/>
  <c r="K17" i="27"/>
  <c r="L17" i="27"/>
  <c r="D20" i="27"/>
  <c r="K20" i="27"/>
  <c r="L20" i="27"/>
  <c r="D23" i="27"/>
  <c r="K23" i="27"/>
  <c r="L23" i="27"/>
  <c r="D26" i="27"/>
  <c r="K26" i="27"/>
  <c r="L26" i="27"/>
  <c r="D6" i="26"/>
  <c r="K6" i="26"/>
  <c r="L6" i="26"/>
  <c r="D9" i="26"/>
  <c r="K9" i="26"/>
  <c r="L9" i="26"/>
  <c r="D10" i="26"/>
  <c r="K10" i="26"/>
  <c r="L10" i="26"/>
  <c r="D13" i="26"/>
  <c r="K13" i="26"/>
  <c r="L13" i="26"/>
  <c r="D14" i="26"/>
  <c r="K14" i="26"/>
  <c r="L14" i="26"/>
  <c r="D17" i="26"/>
  <c r="K17" i="26"/>
  <c r="L17" i="26"/>
  <c r="D20" i="26"/>
  <c r="K20" i="26"/>
  <c r="L20" i="26"/>
  <c r="D21" i="26"/>
  <c r="K21" i="26"/>
  <c r="L21" i="26"/>
  <c r="D22" i="26"/>
  <c r="K22" i="26"/>
  <c r="L22" i="26"/>
  <c r="D25" i="26"/>
  <c r="K25" i="26"/>
  <c r="L25" i="26"/>
  <c r="D28" i="26"/>
  <c r="K28" i="26"/>
  <c r="L28" i="26"/>
  <c r="D29" i="26"/>
  <c r="K29" i="26"/>
  <c r="L29" i="26"/>
  <c r="D30" i="26"/>
  <c r="K30" i="26"/>
  <c r="L30" i="26"/>
  <c r="D33" i="26"/>
  <c r="K33" i="26"/>
  <c r="L33" i="26"/>
  <c r="D34" i="26"/>
  <c r="K34" i="26"/>
  <c r="L34" i="26"/>
  <c r="D35" i="26"/>
  <c r="K35" i="26"/>
  <c r="L35" i="26"/>
  <c r="D36" i="26"/>
  <c r="K36" i="26"/>
  <c r="L36" i="26"/>
  <c r="D37" i="26"/>
  <c r="K37" i="26"/>
  <c r="L37" i="26"/>
  <c r="D40" i="26"/>
  <c r="K40" i="26"/>
  <c r="L40" i="26"/>
  <c r="D41" i="26"/>
  <c r="K41" i="26"/>
  <c r="L41" i="26"/>
  <c r="D44" i="26"/>
  <c r="K44" i="26"/>
  <c r="L44" i="26"/>
  <c r="D47" i="26"/>
  <c r="K47" i="26"/>
  <c r="L47" i="26"/>
  <c r="D6" i="25"/>
  <c r="O6" i="25"/>
  <c r="P6" i="25"/>
  <c r="D9" i="25"/>
  <c r="O9" i="25"/>
  <c r="P9" i="25"/>
  <c r="D10" i="25"/>
  <c r="O10" i="25"/>
  <c r="P10" i="25"/>
  <c r="D13" i="25"/>
  <c r="O13" i="25"/>
  <c r="P13" i="25"/>
  <c r="D14" i="25"/>
  <c r="O14" i="25"/>
  <c r="P14" i="25"/>
  <c r="D17" i="25"/>
  <c r="O17" i="25"/>
  <c r="P17" i="25"/>
  <c r="D20" i="25"/>
  <c r="O20" i="25"/>
  <c r="P20" i="25"/>
  <c r="D21" i="25"/>
  <c r="O21" i="25"/>
  <c r="P21" i="25"/>
  <c r="D24" i="25"/>
  <c r="O24" i="25"/>
  <c r="P24" i="25"/>
  <c r="D27" i="25"/>
  <c r="O27" i="25"/>
  <c r="P27" i="25"/>
  <c r="D30" i="25"/>
  <c r="O30" i="25"/>
  <c r="P30" i="25"/>
  <c r="D6" i="24" l="1"/>
  <c r="I6" i="24"/>
  <c r="J6" i="24"/>
  <c r="D9" i="24"/>
  <c r="I9" i="24"/>
  <c r="J9" i="24"/>
  <c r="D10" i="24"/>
  <c r="I10" i="24"/>
  <c r="J10" i="24"/>
  <c r="D6" i="23"/>
  <c r="I6" i="23"/>
  <c r="J6" i="23"/>
  <c r="D6" i="22"/>
  <c r="I6" i="22"/>
  <c r="J6" i="22"/>
  <c r="D9" i="22"/>
  <c r="I9" i="22"/>
  <c r="J9" i="22"/>
  <c r="D10" i="22"/>
  <c r="I10" i="22"/>
  <c r="J10" i="22"/>
  <c r="P25" i="20" l="1"/>
  <c r="O25" i="20"/>
  <c r="D25" i="20"/>
  <c r="P22" i="20"/>
  <c r="O22" i="20"/>
  <c r="D22" i="20"/>
  <c r="P19" i="20"/>
  <c r="O19" i="20"/>
  <c r="D19" i="20"/>
  <c r="P18" i="20"/>
  <c r="O18" i="20"/>
  <c r="D18" i="20"/>
  <c r="P17" i="20"/>
  <c r="O17" i="20"/>
  <c r="D17" i="20"/>
  <c r="P14" i="20"/>
  <c r="O14" i="20"/>
  <c r="D14" i="20"/>
  <c r="P13" i="20"/>
  <c r="O13" i="20"/>
  <c r="D13" i="20"/>
  <c r="P12" i="20"/>
  <c r="O12" i="20"/>
  <c r="D12" i="20"/>
  <c r="P9" i="20"/>
  <c r="O9" i="20"/>
  <c r="D9" i="20"/>
  <c r="P6" i="20"/>
  <c r="O6" i="20"/>
  <c r="D6" i="20"/>
  <c r="L6" i="19"/>
  <c r="K6" i="19"/>
  <c r="D6" i="19"/>
  <c r="L18" i="18"/>
  <c r="K18" i="18"/>
  <c r="D18" i="18"/>
  <c r="L15" i="18"/>
  <c r="K15" i="18"/>
  <c r="D15" i="18"/>
  <c r="L12" i="18"/>
  <c r="K12" i="18"/>
  <c r="D12" i="18"/>
  <c r="L9" i="18"/>
  <c r="K9" i="18"/>
  <c r="D9" i="18"/>
  <c r="L6" i="18"/>
  <c r="K6" i="18"/>
  <c r="D6" i="18"/>
  <c r="L13" i="17"/>
  <c r="K13" i="17"/>
  <c r="D13" i="17"/>
  <c r="L10" i="17"/>
  <c r="K10" i="17"/>
  <c r="D10" i="17"/>
  <c r="L7" i="17"/>
  <c r="K7" i="17"/>
  <c r="D7" i="17"/>
  <c r="L6" i="17"/>
  <c r="K6" i="17"/>
  <c r="D6" i="17"/>
  <c r="L16" i="16"/>
  <c r="K16" i="16"/>
  <c r="D16" i="16"/>
  <c r="L13" i="16"/>
  <c r="K13" i="16"/>
  <c r="D13" i="16"/>
  <c r="L10" i="16"/>
  <c r="K10" i="16"/>
  <c r="D10" i="16"/>
  <c r="L7" i="16"/>
  <c r="K7" i="16"/>
  <c r="D7" i="16"/>
  <c r="L6" i="16"/>
  <c r="K6" i="16"/>
  <c r="D6" i="16"/>
  <c r="L83" i="15"/>
  <c r="K83" i="15"/>
  <c r="D83" i="15"/>
  <c r="L82" i="15"/>
  <c r="K82" i="15"/>
  <c r="D82" i="15"/>
  <c r="L81" i="15"/>
  <c r="K81" i="15"/>
  <c r="D81" i="15"/>
  <c r="L78" i="15"/>
  <c r="K78" i="15"/>
  <c r="D78" i="15"/>
  <c r="L75" i="15"/>
  <c r="K75" i="15"/>
  <c r="D75" i="15"/>
  <c r="L74" i="15"/>
  <c r="K74" i="15"/>
  <c r="D74" i="15"/>
  <c r="L71" i="15"/>
  <c r="K71" i="15"/>
  <c r="D71" i="15"/>
  <c r="L70" i="15"/>
  <c r="K70" i="15"/>
  <c r="D70" i="15"/>
  <c r="L69" i="15"/>
  <c r="K69" i="15"/>
  <c r="D69" i="15"/>
  <c r="L68" i="15"/>
  <c r="K68" i="15"/>
  <c r="D68" i="15"/>
  <c r="L65" i="15"/>
  <c r="K65" i="15"/>
  <c r="D65" i="15"/>
  <c r="L64" i="15"/>
  <c r="K64" i="15"/>
  <c r="D64" i="15"/>
  <c r="L63" i="15"/>
  <c r="K63" i="15"/>
  <c r="D63" i="15"/>
  <c r="L62" i="15"/>
  <c r="K62" i="15"/>
  <c r="D62" i="15"/>
  <c r="L61" i="15"/>
  <c r="K61" i="15"/>
  <c r="D61" i="15"/>
  <c r="L60" i="15"/>
  <c r="K60" i="15"/>
  <c r="D60" i="15"/>
  <c r="L57" i="15"/>
  <c r="K57" i="15"/>
  <c r="D57" i="15"/>
  <c r="L56" i="15"/>
  <c r="K56" i="15"/>
  <c r="D56" i="15"/>
  <c r="L53" i="15"/>
  <c r="K53" i="15"/>
  <c r="D53" i="15"/>
  <c r="L52" i="15"/>
  <c r="K52" i="15"/>
  <c r="D52" i="15"/>
  <c r="L49" i="15"/>
  <c r="K49" i="15"/>
  <c r="D49" i="15"/>
  <c r="L46" i="15"/>
  <c r="K46" i="15"/>
  <c r="D46" i="15"/>
  <c r="L45" i="15"/>
  <c r="K45" i="15"/>
  <c r="D45" i="15"/>
  <c r="L44" i="15"/>
  <c r="K44" i="15"/>
  <c r="D44" i="15"/>
  <c r="L41" i="15"/>
  <c r="K41" i="15"/>
  <c r="D41" i="15"/>
  <c r="L38" i="15"/>
  <c r="K38" i="15"/>
  <c r="D38" i="15"/>
  <c r="L37" i="15"/>
  <c r="K37" i="15"/>
  <c r="D37" i="15"/>
  <c r="L34" i="15"/>
  <c r="K34" i="15"/>
  <c r="D34" i="15"/>
  <c r="L33" i="15"/>
  <c r="K33" i="15"/>
  <c r="D33" i="15"/>
  <c r="L32" i="15"/>
  <c r="K32" i="15"/>
  <c r="D32" i="15"/>
  <c r="L29" i="15"/>
  <c r="K29" i="15"/>
  <c r="D29" i="15"/>
  <c r="L26" i="15"/>
  <c r="K26" i="15"/>
  <c r="D26" i="15"/>
  <c r="L23" i="15"/>
  <c r="K23" i="15"/>
  <c r="D23" i="15"/>
  <c r="L22" i="15"/>
  <c r="K22" i="15"/>
  <c r="D22" i="15"/>
  <c r="L21" i="15"/>
  <c r="K21" i="15"/>
  <c r="D21" i="15"/>
  <c r="L18" i="15"/>
  <c r="K18" i="15"/>
  <c r="D18" i="15"/>
  <c r="L17" i="15"/>
  <c r="K17" i="15"/>
  <c r="D17" i="15"/>
  <c r="L16" i="15"/>
  <c r="K16" i="15"/>
  <c r="D16" i="15"/>
  <c r="L13" i="15"/>
  <c r="K13" i="15"/>
  <c r="D13" i="15"/>
  <c r="L12" i="15"/>
  <c r="K12" i="15"/>
  <c r="D12" i="15"/>
  <c r="L11" i="15"/>
  <c r="K11" i="15"/>
  <c r="D11" i="15"/>
  <c r="L10" i="15"/>
  <c r="K10" i="15"/>
  <c r="D10" i="15"/>
  <c r="L9" i="15"/>
  <c r="K9" i="15"/>
  <c r="D9" i="15"/>
  <c r="L6" i="15"/>
  <c r="K6" i="15"/>
  <c r="D6" i="15"/>
  <c r="L6" i="14"/>
  <c r="K6" i="14"/>
  <c r="D6" i="14"/>
  <c r="L6" i="13"/>
  <c r="K6" i="13"/>
  <c r="D6" i="13"/>
  <c r="L11" i="12"/>
  <c r="K11" i="12"/>
  <c r="D11" i="12"/>
  <c r="L8" i="12"/>
  <c r="K8" i="12"/>
  <c r="D8" i="12"/>
  <c r="L7" i="12"/>
  <c r="K7" i="12"/>
  <c r="D7" i="12"/>
  <c r="L6" i="12"/>
  <c r="K6" i="12"/>
  <c r="D6" i="12"/>
  <c r="L51" i="11"/>
  <c r="K51" i="11"/>
  <c r="D51" i="11"/>
  <c r="L50" i="11"/>
  <c r="K50" i="11"/>
  <c r="D50" i="11"/>
  <c r="L47" i="11"/>
  <c r="K47" i="11"/>
  <c r="D47" i="11"/>
  <c r="L46" i="11"/>
  <c r="K46" i="11"/>
  <c r="D46" i="11"/>
  <c r="L43" i="11"/>
  <c r="K43" i="11"/>
  <c r="D43" i="11"/>
  <c r="L42" i="11"/>
  <c r="K42" i="11"/>
  <c r="D42" i="11"/>
  <c r="L39" i="11"/>
  <c r="K39" i="11"/>
  <c r="D39" i="11"/>
  <c r="L38" i="11"/>
  <c r="K38" i="11"/>
  <c r="D38" i="11"/>
  <c r="L37" i="11"/>
  <c r="K37" i="11"/>
  <c r="D37" i="11"/>
  <c r="L34" i="11"/>
  <c r="K34" i="11"/>
  <c r="D34" i="11"/>
  <c r="L33" i="11"/>
  <c r="K33" i="11"/>
  <c r="D33" i="11"/>
  <c r="L32" i="11"/>
  <c r="K32" i="11"/>
  <c r="D32" i="11"/>
  <c r="L29" i="11"/>
  <c r="K29" i="11"/>
  <c r="D29" i="11"/>
  <c r="L26" i="11"/>
  <c r="K26" i="11"/>
  <c r="D26" i="11"/>
  <c r="L23" i="11"/>
  <c r="K23" i="11"/>
  <c r="D23" i="11"/>
  <c r="L22" i="11"/>
  <c r="K22" i="11"/>
  <c r="D22" i="11"/>
  <c r="L19" i="11"/>
  <c r="K19" i="11"/>
  <c r="D19" i="11"/>
  <c r="L16" i="11"/>
  <c r="K16" i="11"/>
  <c r="D16" i="11"/>
  <c r="L13" i="11"/>
  <c r="K13" i="11"/>
  <c r="D13" i="11"/>
  <c r="L12" i="11"/>
  <c r="K12" i="11"/>
  <c r="D12" i="11"/>
  <c r="L9" i="11"/>
  <c r="K9" i="11"/>
  <c r="D9" i="11"/>
  <c r="L6" i="11"/>
  <c r="K6" i="11"/>
  <c r="D6" i="11"/>
  <c r="L6" i="10"/>
  <c r="K6" i="10"/>
  <c r="D6" i="10"/>
  <c r="L6" i="9"/>
  <c r="K6" i="9"/>
  <c r="D6" i="9"/>
  <c r="L26" i="8"/>
  <c r="K26" i="8"/>
  <c r="D26" i="8"/>
  <c r="L23" i="8"/>
  <c r="K23" i="8"/>
  <c r="D23" i="8"/>
  <c r="L20" i="8"/>
  <c r="K20" i="8"/>
  <c r="D20" i="8"/>
  <c r="L19" i="8"/>
  <c r="K19" i="8"/>
  <c r="D19" i="8"/>
  <c r="L16" i="8"/>
  <c r="K16" i="8"/>
  <c r="D16" i="8"/>
  <c r="L15" i="8"/>
  <c r="K15" i="8"/>
  <c r="D15" i="8"/>
  <c r="L12" i="8"/>
  <c r="K12" i="8"/>
  <c r="D12" i="8"/>
  <c r="L9" i="8"/>
  <c r="K9" i="8"/>
  <c r="D9" i="8"/>
  <c r="L6" i="8"/>
  <c r="K6" i="8"/>
  <c r="D6" i="8"/>
  <c r="T16" i="7"/>
  <c r="S16" i="7"/>
  <c r="D16" i="7"/>
  <c r="T15" i="7"/>
  <c r="S15" i="7"/>
  <c r="D15" i="7"/>
  <c r="T12" i="7"/>
  <c r="S12" i="7"/>
  <c r="D12" i="7"/>
  <c r="T11" i="7"/>
  <c r="S11" i="7"/>
  <c r="D11" i="7"/>
  <c r="T8" i="7"/>
  <c r="S8" i="7"/>
  <c r="D8" i="7"/>
  <c r="T7" i="7"/>
  <c r="S7" i="7"/>
  <c r="D7" i="7"/>
  <c r="T6" i="7"/>
  <c r="S6" i="7"/>
  <c r="D6" i="7"/>
  <c r="T70" i="6"/>
  <c r="S70" i="6"/>
  <c r="D70" i="6"/>
  <c r="T67" i="6"/>
  <c r="S67" i="6"/>
  <c r="D67" i="6"/>
  <c r="T66" i="6"/>
  <c r="S66" i="6"/>
  <c r="D66" i="6"/>
  <c r="T63" i="6"/>
  <c r="S63" i="6"/>
  <c r="D63" i="6"/>
  <c r="T62" i="6"/>
  <c r="S62" i="6"/>
  <c r="D62" i="6"/>
  <c r="T61" i="6"/>
  <c r="S61" i="6"/>
  <c r="D61" i="6"/>
  <c r="T60" i="6"/>
  <c r="S60" i="6"/>
  <c r="D60" i="6"/>
  <c r="T59" i="6"/>
  <c r="S59" i="6"/>
  <c r="D59" i="6"/>
  <c r="T56" i="6"/>
  <c r="S56" i="6"/>
  <c r="D56" i="6"/>
  <c r="T55" i="6"/>
  <c r="S55" i="6"/>
  <c r="D55" i="6"/>
  <c r="T54" i="6"/>
  <c r="S54" i="6"/>
  <c r="D54" i="6"/>
  <c r="T53" i="6"/>
  <c r="S53" i="6"/>
  <c r="D53" i="6"/>
  <c r="T52" i="6"/>
  <c r="S52" i="6"/>
  <c r="D52" i="6"/>
  <c r="T51" i="6"/>
  <c r="S51" i="6"/>
  <c r="D51" i="6"/>
  <c r="T48" i="6"/>
  <c r="S48" i="6"/>
  <c r="D48" i="6"/>
  <c r="T47" i="6"/>
  <c r="S47" i="6"/>
  <c r="D47" i="6"/>
  <c r="T46" i="6"/>
  <c r="S46" i="6"/>
  <c r="D46" i="6"/>
  <c r="T45" i="6"/>
  <c r="S45" i="6"/>
  <c r="D45" i="6"/>
  <c r="T44" i="6"/>
  <c r="S44" i="6"/>
  <c r="D44" i="6"/>
  <c r="T41" i="6"/>
  <c r="S41" i="6"/>
  <c r="D41" i="6"/>
  <c r="T40" i="6"/>
  <c r="S40" i="6"/>
  <c r="D40" i="6"/>
  <c r="T39" i="6"/>
  <c r="S39" i="6"/>
  <c r="D39" i="6"/>
  <c r="T36" i="6"/>
  <c r="S36" i="6"/>
  <c r="D36" i="6"/>
  <c r="T35" i="6"/>
  <c r="S35" i="6"/>
  <c r="D35" i="6"/>
  <c r="T34" i="6"/>
  <c r="S34" i="6"/>
  <c r="D34" i="6"/>
  <c r="T31" i="6"/>
  <c r="S31" i="6"/>
  <c r="D31" i="6"/>
  <c r="T30" i="6"/>
  <c r="S30" i="6"/>
  <c r="D30" i="6"/>
  <c r="T29" i="6"/>
  <c r="S29" i="6"/>
  <c r="D29" i="6"/>
  <c r="T28" i="6"/>
  <c r="S28" i="6"/>
  <c r="D28" i="6"/>
  <c r="T25" i="6"/>
  <c r="S25" i="6"/>
  <c r="D25" i="6"/>
  <c r="T22" i="6"/>
  <c r="S22" i="6"/>
  <c r="D22" i="6"/>
  <c r="T21" i="6"/>
  <c r="S21" i="6"/>
  <c r="D21" i="6"/>
  <c r="T18" i="6"/>
  <c r="S18" i="6"/>
  <c r="D18" i="6"/>
  <c r="T15" i="6"/>
  <c r="S15" i="6"/>
  <c r="D15" i="6"/>
  <c r="T14" i="6"/>
  <c r="S14" i="6"/>
  <c r="D14" i="6"/>
  <c r="T11" i="6"/>
  <c r="S11" i="6"/>
  <c r="D11" i="6"/>
  <c r="T10" i="6"/>
  <c r="S10" i="6"/>
  <c r="D10" i="6"/>
  <c r="T7" i="6"/>
  <c r="S7" i="6"/>
  <c r="D7" i="6"/>
  <c r="T6" i="6"/>
  <c r="S6" i="6"/>
  <c r="D6" i="6"/>
  <c r="T14" i="5"/>
  <c r="S14" i="5"/>
  <c r="D14" i="5"/>
  <c r="T11" i="5"/>
  <c r="S11" i="5"/>
  <c r="D11" i="5"/>
  <c r="T10" i="5"/>
  <c r="S10" i="5"/>
  <c r="D10" i="5"/>
  <c r="T7" i="5"/>
  <c r="S7" i="5"/>
  <c r="D7" i="5"/>
  <c r="T6" i="5"/>
  <c r="S6" i="5"/>
  <c r="D6" i="5"/>
</calcChain>
</file>

<file path=xl/sharedStrings.xml><?xml version="1.0" encoding="utf-8"?>
<sst xmlns="http://schemas.openxmlformats.org/spreadsheetml/2006/main" count="4250" uniqueCount="787">
  <si>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</si>
  <si>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</si>
  <si>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</si>
  <si>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</si>
  <si>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</si>
  <si>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</si>
  <si>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</si>
  <si>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</si>
  <si>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</si>
  <si>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</si>
  <si>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</si>
  <si>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</si>
  <si>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Кубок силы 10
Любители пауэрлифтинг софт экипировка стандарт
Краснодар/Краснодарский край 24 - 25 декабря 2022 г.</t>
  </si>
  <si>
    <t>Shv/Mel</t>
  </si>
  <si>
    <t>Приседание</t>
  </si>
  <si>
    <t>Жим лёжа</t>
  </si>
  <si>
    <t>Становая тяга</t>
  </si>
  <si>
    <t>ВЕСОВАЯ КАТЕГОРИЯ   100</t>
  </si>
  <si>
    <t>Шаляпин Владимир</t>
  </si>
  <si>
    <t>1. Шаляпин Владимир</t>
  </si>
  <si>
    <t>Открытая (26.01.1985)/37</t>
  </si>
  <si>
    <t>96,80</t>
  </si>
  <si>
    <t xml:space="preserve">Lyashko Team </t>
  </si>
  <si>
    <t xml:space="preserve">Северская/Краснодарский край </t>
  </si>
  <si>
    <t>220,0</t>
  </si>
  <si>
    <t>230,0</t>
  </si>
  <si>
    <t>240,0</t>
  </si>
  <si>
    <t>160,0</t>
  </si>
  <si>
    <t>180,0</t>
  </si>
  <si>
    <t>185,0</t>
  </si>
  <si>
    <t>245,0</t>
  </si>
  <si>
    <t>260,0</t>
  </si>
  <si>
    <t>270,0</t>
  </si>
  <si>
    <t xml:space="preserve">Ляшко Василий </t>
  </si>
  <si>
    <t>Ляшко Василий</t>
  </si>
  <si>
    <t>1. Ляшко Василий</t>
  </si>
  <si>
    <t>Мастера 40 - 44 (15.07.1982)/40</t>
  </si>
  <si>
    <t>98,40</t>
  </si>
  <si>
    <t>252,5</t>
  </si>
  <si>
    <t>ВЕСОВАЯ КАТЕГОРИЯ   110</t>
  </si>
  <si>
    <t>Ткач Евгений</t>
  </si>
  <si>
    <t>1. Ткач Евгений</t>
  </si>
  <si>
    <t>Открытая (18.08.1978)/44</t>
  </si>
  <si>
    <t>106,90</t>
  </si>
  <si>
    <t>150,0</t>
  </si>
  <si>
    <t>170,0</t>
  </si>
  <si>
    <t>190,0</t>
  </si>
  <si>
    <t>140,0</t>
  </si>
  <si>
    <t>165,0</t>
  </si>
  <si>
    <t>Мастера 40 - 44 (18.08.1978)/44</t>
  </si>
  <si>
    <t>ВЕСОВАЯ КАТЕГОРИЯ   125</t>
  </si>
  <si>
    <t>Омельченко Денис</t>
  </si>
  <si>
    <t>1. Омельченко Денис</t>
  </si>
  <si>
    <t>Открытая (09.10.1988)/34</t>
  </si>
  <si>
    <t>116,30</t>
  </si>
  <si>
    <t>205,0</t>
  </si>
  <si>
    <t>175,0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</si>
  <si>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</si>
  <si>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</si>
  <si>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</si>
  <si>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</si>
  <si>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</si>
  <si>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</si>
  <si>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</si>
  <si>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</si>
  <si>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</si>
  <si>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</si>
  <si>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</si>
  <si>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</si>
  <si>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</si>
  <si>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100</t>
  </si>
  <si>
    <t>125</t>
  </si>
  <si>
    <t>110</t>
  </si>
  <si>
    <t xml:space="preserve">Мастера </t>
  </si>
  <si>
    <t xml:space="preserve">Мастера 40 - 44 </t>
  </si>
  <si>
    <t>Кубок силы 10
Любители пауэрлифтинг без экипировки
Краснодар/Краснодарский край 24 - 25 декабря 2022 г.</t>
  </si>
  <si>
    <t>ВЕСОВАЯ КАТЕГОРИЯ   56</t>
  </si>
  <si>
    <t>Отришко Татьяна</t>
  </si>
  <si>
    <t>1. Отришко Татьяна</t>
  </si>
  <si>
    <t>Открытая (08.08.1973)/49</t>
  </si>
  <si>
    <t>53,60</t>
  </si>
  <si>
    <t>40,0</t>
  </si>
  <si>
    <t>45,0</t>
  </si>
  <si>
    <t>50,0</t>
  </si>
  <si>
    <t>25,0</t>
  </si>
  <si>
    <t>30,0</t>
  </si>
  <si>
    <t>32,5</t>
  </si>
  <si>
    <t>70,0</t>
  </si>
  <si>
    <t>80,0</t>
  </si>
  <si>
    <t>90,0</t>
  </si>
  <si>
    <t>Мастера 45 - 49 (08.08.1973)/49</t>
  </si>
  <si>
    <t>ВЕСОВАЯ КАТЕГОРИЯ   60</t>
  </si>
  <si>
    <t>Скиба Олеся</t>
  </si>
  <si>
    <t>1. Скиба Олеся</t>
  </si>
  <si>
    <t>Открытая (17.11.1986)/36</t>
  </si>
  <si>
    <t>60,00</t>
  </si>
  <si>
    <t>100,0</t>
  </si>
  <si>
    <t>110,0</t>
  </si>
  <si>
    <t>55,0</t>
  </si>
  <si>
    <t>60,0</t>
  </si>
  <si>
    <t>65,0</t>
  </si>
  <si>
    <t>167,5</t>
  </si>
  <si>
    <t>Уварова Любовь</t>
  </si>
  <si>
    <t>1. Уварова Любовь</t>
  </si>
  <si>
    <t>Мастера 55 - 59 (01.01.1966)/56</t>
  </si>
  <si>
    <t>75,0</t>
  </si>
  <si>
    <t>85,0</t>
  </si>
  <si>
    <t>95,0</t>
  </si>
  <si>
    <t>35,0</t>
  </si>
  <si>
    <t>115,0</t>
  </si>
  <si>
    <t>125,0</t>
  </si>
  <si>
    <t>130,0</t>
  </si>
  <si>
    <t>ВЕСОВАЯ КАТЕГОРИЯ   67.5</t>
  </si>
  <si>
    <t>Помазанова Маргарита</t>
  </si>
  <si>
    <t>1. Помазанова Маргарита</t>
  </si>
  <si>
    <t>Девушки 0-13 (26.01.2009)/13</t>
  </si>
  <si>
    <t>66,80</t>
  </si>
  <si>
    <t xml:space="preserve">Центр Тяжести </t>
  </si>
  <si>
    <t xml:space="preserve">Усть-Лабинск/Краснодарский край </t>
  </si>
  <si>
    <t xml:space="preserve">Новосельцев Олег </t>
  </si>
  <si>
    <t>Открытая (26.01.2009)/13</t>
  </si>
  <si>
    <t>ВЕСОВАЯ КАТЕГОРИЯ   75</t>
  </si>
  <si>
    <t>Маташвили Наталия</t>
  </si>
  <si>
    <t>1. Маташвили Наталия</t>
  </si>
  <si>
    <t>Открытая (13.01.1987)/35</t>
  </si>
  <si>
    <t>75,00</t>
  </si>
  <si>
    <t xml:space="preserve">Новосельцев О.С. </t>
  </si>
  <si>
    <t>ВЕСОВАЯ КАТЕГОРИЯ   90+</t>
  </si>
  <si>
    <t>Лысенко Натела</t>
  </si>
  <si>
    <t>1. Лысенко Натела</t>
  </si>
  <si>
    <t>Открытая (07.08.1978)/44</t>
  </si>
  <si>
    <t>121,20</t>
  </si>
  <si>
    <t>47,5</t>
  </si>
  <si>
    <t>120,0</t>
  </si>
  <si>
    <t>Мастера 40 - 44 (07.08.1978)/44</t>
  </si>
  <si>
    <t>Гуськова Елена</t>
  </si>
  <si>
    <t>1. Гуськова Елена</t>
  </si>
  <si>
    <t>Открытая (11.08.1991)/31</t>
  </si>
  <si>
    <t>59,50</t>
  </si>
  <si>
    <t xml:space="preserve">Легион г. Нальчик </t>
  </si>
  <si>
    <t xml:space="preserve">Нальчик/Кабардино-Балкария </t>
  </si>
  <si>
    <t>42,5</t>
  </si>
  <si>
    <t>52,5</t>
  </si>
  <si>
    <t xml:space="preserve">Губжев Б.Р. </t>
  </si>
  <si>
    <t>Киптило Ярослав</t>
  </si>
  <si>
    <t>1. Киптило Ярослав</t>
  </si>
  <si>
    <t>Юноши 0-13 (10.03.2010)/12</t>
  </si>
  <si>
    <t>67,50</t>
  </si>
  <si>
    <t>Чернов Валентин</t>
  </si>
  <si>
    <t>1. Чернов Валентин</t>
  </si>
  <si>
    <t>Юноши 16 - 17 (14.02.2005)/17</t>
  </si>
  <si>
    <t xml:space="preserve">Геленджик/Краснодарский край </t>
  </si>
  <si>
    <t>Гривастов Глеб</t>
  </si>
  <si>
    <t>1. Гривастов Глеб</t>
  </si>
  <si>
    <t>Юноши 18 - 19 (25.10.2004)/18</t>
  </si>
  <si>
    <t>66,70</t>
  </si>
  <si>
    <t>155,0</t>
  </si>
  <si>
    <t>Открытая (25.10.2004)/18</t>
  </si>
  <si>
    <t>Долгиев Максим</t>
  </si>
  <si>
    <t>1. Долгиев Максим</t>
  </si>
  <si>
    <t>Юноши 14-15 (01.09.2007)/15</t>
  </si>
  <si>
    <t>72,00</t>
  </si>
  <si>
    <t>77,5</t>
  </si>
  <si>
    <t>Жабелов Артур</t>
  </si>
  <si>
    <t>1. Жабелов Артур</t>
  </si>
  <si>
    <t>Юноши 16 - 17 (09.10.2005)/17</t>
  </si>
  <si>
    <t>72,50</t>
  </si>
  <si>
    <t xml:space="preserve">Нальчик/Кабардино-Балкария республика </t>
  </si>
  <si>
    <t>105,0</t>
  </si>
  <si>
    <t>82,5</t>
  </si>
  <si>
    <t>Открытая (01.09.2007)/15</t>
  </si>
  <si>
    <t>ВЕСОВАЯ КАТЕГОРИЯ   82.5</t>
  </si>
  <si>
    <t>Кузнецов Ярослав</t>
  </si>
  <si>
    <t>1. Кузнецов Ярослав</t>
  </si>
  <si>
    <t>Юноши 16 - 17 (12.08.2005)/17</t>
  </si>
  <si>
    <t>80,00</t>
  </si>
  <si>
    <t>135,0</t>
  </si>
  <si>
    <t>Бибалов Вячеслав</t>
  </si>
  <si>
    <t>1. Бибалов Вячеслав</t>
  </si>
  <si>
    <t>Юниоры 20 - 23 (01.10.2001)/21</t>
  </si>
  <si>
    <t>79,90</t>
  </si>
  <si>
    <t>145,0</t>
  </si>
  <si>
    <t>Открытая (01.10.2001)/21</t>
  </si>
  <si>
    <t>ВЕСОВАЯ КАТЕГОРИЯ   90</t>
  </si>
  <si>
    <t>Кондратенко Константин</t>
  </si>
  <si>
    <t>1. Кондратенко Константин</t>
  </si>
  <si>
    <t>Открытая (04.01.1988)/34</t>
  </si>
  <si>
    <t>89,80</t>
  </si>
  <si>
    <t>210,0</t>
  </si>
  <si>
    <t>225,0</t>
  </si>
  <si>
    <t>Сумин Борис</t>
  </si>
  <si>
    <t>2. Сумин Борис</t>
  </si>
  <si>
    <t>Открытая (11.06.1992)/30</t>
  </si>
  <si>
    <t>89,30</t>
  </si>
  <si>
    <t xml:space="preserve">лично </t>
  </si>
  <si>
    <t xml:space="preserve">Сочи/Краснодарский край </t>
  </si>
  <si>
    <t>200,0</t>
  </si>
  <si>
    <t>132,5</t>
  </si>
  <si>
    <t>222,5</t>
  </si>
  <si>
    <t xml:space="preserve"> </t>
  </si>
  <si>
    <t>Буров Андрей</t>
  </si>
  <si>
    <t>3. Буров Андрей</t>
  </si>
  <si>
    <t>Открытая (13.12.1967)/55</t>
  </si>
  <si>
    <t>90,00</t>
  </si>
  <si>
    <t>Колесников Евгений</t>
  </si>
  <si>
    <t>1. Колесников Евгений</t>
  </si>
  <si>
    <t>Мастера 40 - 44 (22.10.1979)/43</t>
  </si>
  <si>
    <t>87,80</t>
  </si>
  <si>
    <t>1. Буров Андрей</t>
  </si>
  <si>
    <t>Мастера 55 - 59 (13.12.1967)/55</t>
  </si>
  <si>
    <t>Михайлов Богдан</t>
  </si>
  <si>
    <t>1. Михайлов Богдан</t>
  </si>
  <si>
    <t>Юноши 0-13 (13.10.2009)/13</t>
  </si>
  <si>
    <t>95,00</t>
  </si>
  <si>
    <t>Никишин Олег</t>
  </si>
  <si>
    <t>1. Никишин Олег</t>
  </si>
  <si>
    <t>Юноши 18 - 19 (07.05.2004)/18</t>
  </si>
  <si>
    <t>94,50</t>
  </si>
  <si>
    <t>207,5</t>
  </si>
  <si>
    <t>Зубакин Александр</t>
  </si>
  <si>
    <t>1. Зубакин Александр</t>
  </si>
  <si>
    <t>Открытая (13.01.1985)/37</t>
  </si>
  <si>
    <t xml:space="preserve">Черномор спорт </t>
  </si>
  <si>
    <t>250,0</t>
  </si>
  <si>
    <t xml:space="preserve">Зубов Денис Владимирович </t>
  </si>
  <si>
    <t>2. Никишин Олег</t>
  </si>
  <si>
    <t>Открытая (07.05.2004)/18</t>
  </si>
  <si>
    <t>Омаров Олег</t>
  </si>
  <si>
    <t>3. Омаров Олег</t>
  </si>
  <si>
    <t>Открытая (17.02.1973)/49</t>
  </si>
  <si>
    <t>1. Омаров Олег</t>
  </si>
  <si>
    <t>Мастера 45 - 49 (17.02.1973)/49</t>
  </si>
  <si>
    <t>Кушчетеров Юрий</t>
  </si>
  <si>
    <t>1. Кушчетеров Юрий</t>
  </si>
  <si>
    <t>Юниоры 20 - 23 (25.10.2002)/20</t>
  </si>
  <si>
    <t>102,90</t>
  </si>
  <si>
    <t>Мисюрин Сергей</t>
  </si>
  <si>
    <t>1. Мисюрин Сергей</t>
  </si>
  <si>
    <t>Открытая (30.10.1992)/30</t>
  </si>
  <si>
    <t>108,60</t>
  </si>
  <si>
    <t xml:space="preserve">Краснодар/Краснодарский край </t>
  </si>
  <si>
    <t>Давыдов Денис</t>
  </si>
  <si>
    <t>2. Давыдов Денис</t>
  </si>
  <si>
    <t>Открытая (23.01.1980)/42</t>
  </si>
  <si>
    <t>109,50</t>
  </si>
  <si>
    <t>215,0</t>
  </si>
  <si>
    <t>Рыжков Роман</t>
  </si>
  <si>
    <t>1. Рыжков Роман</t>
  </si>
  <si>
    <t>Мастера 40 - 44 (19.09.1981)/41</t>
  </si>
  <si>
    <t>107,40</t>
  </si>
  <si>
    <t>Мастера 40 - 44 (23.01.1980)/42</t>
  </si>
  <si>
    <t>Новосельцев Олег</t>
  </si>
  <si>
    <t>1. Новосельцев Олег</t>
  </si>
  <si>
    <t>Открытая (10.05.1985)/37</t>
  </si>
  <si>
    <t>120,40</t>
  </si>
  <si>
    <t>280,0</t>
  </si>
  <si>
    <t>290,0</t>
  </si>
  <si>
    <t>Трудик Андрей</t>
  </si>
  <si>
    <t>1. Трудик Андрей</t>
  </si>
  <si>
    <t>Мастера 45 - 49 (16.01.1974)/48</t>
  </si>
  <si>
    <t>120,00</t>
  </si>
  <si>
    <t>ВЕСОВАЯ КАТЕГОРИЯ   140</t>
  </si>
  <si>
    <t>Бесчасный Денис</t>
  </si>
  <si>
    <t>1. Бесчасный Денис</t>
  </si>
  <si>
    <t>Открытая (11.03.1988)/34</t>
  </si>
  <si>
    <t>132,00</t>
  </si>
  <si>
    <t xml:space="preserve">Женщины </t>
  </si>
  <si>
    <t xml:space="preserve">Девушки </t>
  </si>
  <si>
    <t xml:space="preserve">Юноши 0-13 </t>
  </si>
  <si>
    <t>67.5</t>
  </si>
  <si>
    <t>60</t>
  </si>
  <si>
    <t>75</t>
  </si>
  <si>
    <t>90+</t>
  </si>
  <si>
    <t>56</t>
  </si>
  <si>
    <t xml:space="preserve">Мастера 55 - 59 </t>
  </si>
  <si>
    <t xml:space="preserve">Мастера 45 - 49 </t>
  </si>
  <si>
    <t xml:space="preserve">Юноши </t>
  </si>
  <si>
    <t xml:space="preserve">Юноши 14-15 </t>
  </si>
  <si>
    <t xml:space="preserve">Юноши 18 - 19 </t>
  </si>
  <si>
    <t xml:space="preserve">Юноши 16 - 17 </t>
  </si>
  <si>
    <t>82.5</t>
  </si>
  <si>
    <t xml:space="preserve">Юниоры </t>
  </si>
  <si>
    <t xml:space="preserve">Юниоры 20 - 23 </t>
  </si>
  <si>
    <t>140</t>
  </si>
  <si>
    <t>90</t>
  </si>
  <si>
    <t>Кубок силы 10
ПРО пауэрлифтинг без экипировки
Краснодар/Краснодарский край 24 - 25 декабря 2022 г.</t>
  </si>
  <si>
    <t>Кочесокова Алина</t>
  </si>
  <si>
    <t>1. Кочесокова Алина</t>
  </si>
  <si>
    <t>Открытая (22.09.1987)/35</t>
  </si>
  <si>
    <t>64,80</t>
  </si>
  <si>
    <t xml:space="preserve">Баксан/Кабардино-Балкария </t>
  </si>
  <si>
    <t>62,5</t>
  </si>
  <si>
    <t>67,5</t>
  </si>
  <si>
    <t xml:space="preserve">Хашпаков М. </t>
  </si>
  <si>
    <t>Кунашева Рита</t>
  </si>
  <si>
    <t>2. Кунашева Рита</t>
  </si>
  <si>
    <t>Открытая (17.06.1963)/59</t>
  </si>
  <si>
    <t>57,5</t>
  </si>
  <si>
    <t>1. Кунашева Рита</t>
  </si>
  <si>
    <t>Мастера 55 - 59 (17.06.1963)/59</t>
  </si>
  <si>
    <t>Кунашев Руслан</t>
  </si>
  <si>
    <t>1. Кунашев Руслан</t>
  </si>
  <si>
    <t>Открытая (27.08.1956)/66</t>
  </si>
  <si>
    <t>88,50</t>
  </si>
  <si>
    <t>112,5</t>
  </si>
  <si>
    <t>182,5</t>
  </si>
  <si>
    <t>192,5</t>
  </si>
  <si>
    <t>Мастера 65 - 69 (27.08.1956)/66</t>
  </si>
  <si>
    <t>Шимолин Роман</t>
  </si>
  <si>
    <t>1. Шимолин Роман</t>
  </si>
  <si>
    <t>Открытая (26.07.1990)/32</t>
  </si>
  <si>
    <t>99,70</t>
  </si>
  <si>
    <t>Чемериский Андрей</t>
  </si>
  <si>
    <t>1. Чемериский Андрей</t>
  </si>
  <si>
    <t>Мастера 40 - 44 (13.04.1979)/43</t>
  </si>
  <si>
    <t>93,90</t>
  </si>
  <si>
    <t xml:space="preserve">Don-Power </t>
  </si>
  <si>
    <t xml:space="preserve">Ростов-на-Дону/Ростовская область </t>
  </si>
  <si>
    <t>142,5</t>
  </si>
  <si>
    <t>235,0</t>
  </si>
  <si>
    <t xml:space="preserve">Карпенко А. </t>
  </si>
  <si>
    <t xml:space="preserve">Мастера 65 - 69 </t>
  </si>
  <si>
    <t>Кубок силы 10
Любители военный жим классический
Краснодар/Краснодарский край 24 - 25 декабря 2022 г.</t>
  </si>
  <si>
    <t>Чугунова Оксана</t>
  </si>
  <si>
    <t>1. Чугунова Оксана</t>
  </si>
  <si>
    <t>Открытая (06.05.1984)/38</t>
  </si>
  <si>
    <t>54,80</t>
  </si>
  <si>
    <t>Алмазова Радмила</t>
  </si>
  <si>
    <t>1. Алмазова Радмила</t>
  </si>
  <si>
    <t>Открытая (24.03.1979)/43</t>
  </si>
  <si>
    <t>59,70</t>
  </si>
  <si>
    <t>Майданюк Анжелика</t>
  </si>
  <si>
    <t>1. Майданюк Анжелика</t>
  </si>
  <si>
    <t>Открытая (26.10.1981)/41</t>
  </si>
  <si>
    <t>66,90</t>
  </si>
  <si>
    <t xml:space="preserve">Зубов Д. </t>
  </si>
  <si>
    <t>Довгопол Владимир</t>
  </si>
  <si>
    <t>1. Довгопол Владимир</t>
  </si>
  <si>
    <t>Открытая (18.08.1986)/36</t>
  </si>
  <si>
    <t>74,30</t>
  </si>
  <si>
    <t>Савёлов Дмитрий</t>
  </si>
  <si>
    <t>2. Савёлов Дмитрий</t>
  </si>
  <si>
    <t>Открытая (21.11.1990)/32</t>
  </si>
  <si>
    <t>74,60</t>
  </si>
  <si>
    <t>Хачатрян Роман</t>
  </si>
  <si>
    <t>1. Хачатрян Роман</t>
  </si>
  <si>
    <t>Открытая (26.10.1988)/34</t>
  </si>
  <si>
    <t>82,50</t>
  </si>
  <si>
    <t>Дворкин Леонид</t>
  </si>
  <si>
    <t>1. Дворкин Леонид</t>
  </si>
  <si>
    <t>Мастера 80+ (23.01.1941)/81</t>
  </si>
  <si>
    <t>76,00</t>
  </si>
  <si>
    <t>92,5</t>
  </si>
  <si>
    <t xml:space="preserve">Авраменко О. </t>
  </si>
  <si>
    <t>Макаев Александр</t>
  </si>
  <si>
    <t>1. Макаев Александр</t>
  </si>
  <si>
    <t>Открытая (08.08.1995)/27</t>
  </si>
  <si>
    <t>89,60</t>
  </si>
  <si>
    <t xml:space="preserve">Макаев.тайм </t>
  </si>
  <si>
    <t>137,5</t>
  </si>
  <si>
    <t>147,5</t>
  </si>
  <si>
    <t xml:space="preserve">Макаева Анастасия </t>
  </si>
  <si>
    <t>Зубов Денис</t>
  </si>
  <si>
    <t>1. Зубов Денис</t>
  </si>
  <si>
    <t>Открытая (02.04.1987)/35</t>
  </si>
  <si>
    <t>96,30</t>
  </si>
  <si>
    <t xml:space="preserve">Результат </t>
  </si>
  <si>
    <t xml:space="preserve">Мастера 80+ </t>
  </si>
  <si>
    <t>Результат</t>
  </si>
  <si>
    <t>Кубок силы 10
Любители жим лежа в многослойной экипировке
Краснодар/Краснодарский край 24 - 25 декабря 2022 г.</t>
  </si>
  <si>
    <t>-. Маслов Владимир</t>
  </si>
  <si>
    <t>Открытая (11.03.1992)/30</t>
  </si>
  <si>
    <t>124,20</t>
  </si>
  <si>
    <t xml:space="preserve">Майкоп/Адыгея </t>
  </si>
  <si>
    <t xml:space="preserve">Манченко А. </t>
  </si>
  <si>
    <t>Кубок силы 10
Любители жим лежа в однослойной экипировке
Краснодар/Краснодарский край 24 - 25 декабря 2022 г.</t>
  </si>
  <si>
    <t>Рассказов Александр</t>
  </si>
  <si>
    <t>1. Рассказов Александр</t>
  </si>
  <si>
    <t>Мастера 60 - 64 (27.06.1961)/61</t>
  </si>
  <si>
    <t>89,00</t>
  </si>
  <si>
    <t xml:space="preserve">Варги </t>
  </si>
  <si>
    <t xml:space="preserve">Майкоп/Адыгея республика </t>
  </si>
  <si>
    <t xml:space="preserve">Мастера 60 - 64 </t>
  </si>
  <si>
    <t>Кубок силы 10
Любители жим лежа без экипировки
Краснодар/Краснодарский край 24 - 25 декабря 2022 г.</t>
  </si>
  <si>
    <t>Камалиева Юлия</t>
  </si>
  <si>
    <t>1. Камалиева Юлия</t>
  </si>
  <si>
    <t>Юниорки 20 - 23 (03.05.2000)/22</t>
  </si>
  <si>
    <t>66,10</t>
  </si>
  <si>
    <t xml:space="preserve">Гришечкина М. В. </t>
  </si>
  <si>
    <t>Виноградова Екатерина</t>
  </si>
  <si>
    <t>1. Виноградова Екатерина</t>
  </si>
  <si>
    <t>Открытая (05.07.1988)/34</t>
  </si>
  <si>
    <t>67,10</t>
  </si>
  <si>
    <t xml:space="preserve">Новый Уренгой/Ямало-Ненецкий авт. окр. </t>
  </si>
  <si>
    <t>72,5</t>
  </si>
  <si>
    <t xml:space="preserve">Насонов Сергей </t>
  </si>
  <si>
    <t>Воротынцева Светлана</t>
  </si>
  <si>
    <t>1. Воротынцева Светлана</t>
  </si>
  <si>
    <t>Открытая (21.11.1992)/30</t>
  </si>
  <si>
    <t>68,30</t>
  </si>
  <si>
    <t>ВЕСОВАЯ КАТЕГОРИЯ   44</t>
  </si>
  <si>
    <t>Шукшин Михаил</t>
  </si>
  <si>
    <t>1. Шукшин Михаил</t>
  </si>
  <si>
    <t>Юноши 0-13 (05.01.2013)/9</t>
  </si>
  <si>
    <t>31,00</t>
  </si>
  <si>
    <t xml:space="preserve">Виноград жим </t>
  </si>
  <si>
    <t xml:space="preserve">Анапа/Краснодарский край </t>
  </si>
  <si>
    <t xml:space="preserve">Шукшин П.Н. </t>
  </si>
  <si>
    <t>ВЕСОВАЯ КАТЕГОРИЯ   48</t>
  </si>
  <si>
    <t>Буняев Иван</t>
  </si>
  <si>
    <t>1. Буняев Иван</t>
  </si>
  <si>
    <t>Юноши 0-13 (01.02.2009)/13</t>
  </si>
  <si>
    <t>47,60</t>
  </si>
  <si>
    <t xml:space="preserve">Ессентуки/Ставропольский край </t>
  </si>
  <si>
    <t>53,5</t>
  </si>
  <si>
    <t>Топалиди Георгий</t>
  </si>
  <si>
    <t>1. Топалиди Георгий</t>
  </si>
  <si>
    <t>Юноши 14-15 (04.09.2008)/14</t>
  </si>
  <si>
    <t>48,00</t>
  </si>
  <si>
    <t>Кулаковский Николай</t>
  </si>
  <si>
    <t>1. Кулаковский Николай</t>
  </si>
  <si>
    <t>Открытая (22.07.1989)/33</t>
  </si>
  <si>
    <t>58,40</t>
  </si>
  <si>
    <t>97,5</t>
  </si>
  <si>
    <t xml:space="preserve">Лазовой Д. </t>
  </si>
  <si>
    <t>Белоусов Владимир</t>
  </si>
  <si>
    <t>1. Белоусов Владимир</t>
  </si>
  <si>
    <t>Открытая (08.04.1992)/30</t>
  </si>
  <si>
    <t>72,70</t>
  </si>
  <si>
    <t xml:space="preserve">Псыгупс </t>
  </si>
  <si>
    <t xml:space="preserve">Тульский/Адыгея республика </t>
  </si>
  <si>
    <t xml:space="preserve">Талавасов Анатолий </t>
  </si>
  <si>
    <t>Смирнов Алексей</t>
  </si>
  <si>
    <t>2. Смирнов Алексей</t>
  </si>
  <si>
    <t>Открытая (20.02.1988)/34</t>
  </si>
  <si>
    <t xml:space="preserve">Фитнес Клуб Олимпийский </t>
  </si>
  <si>
    <t xml:space="preserve">Белореченск/Краснодарский край </t>
  </si>
  <si>
    <t xml:space="preserve">Армашевский Михаил </t>
  </si>
  <si>
    <t>-. Щербаков Алексей</t>
  </si>
  <si>
    <t>Открытая (21.09.1980)/42</t>
  </si>
  <si>
    <t>73,80</t>
  </si>
  <si>
    <t xml:space="preserve">Спортлайф </t>
  </si>
  <si>
    <t xml:space="preserve">Кропоткин/Краснодарский край </t>
  </si>
  <si>
    <t xml:space="preserve">Космынин Владимир </t>
  </si>
  <si>
    <t>Третьяков Сергей</t>
  </si>
  <si>
    <t>1. Третьяков Сергей</t>
  </si>
  <si>
    <t>Открытая (21.09.1977)/45</t>
  </si>
  <si>
    <t>82,30</t>
  </si>
  <si>
    <t>117,5</t>
  </si>
  <si>
    <t>122,5</t>
  </si>
  <si>
    <t xml:space="preserve">Протосеня Юрий </t>
  </si>
  <si>
    <t>Мастера 45 - 49 (21.09.1977)/45</t>
  </si>
  <si>
    <t>-. Корчагин Анатолий</t>
  </si>
  <si>
    <t>Мастера 50 - 54 (18.12.1968)/54</t>
  </si>
  <si>
    <t>81,50</t>
  </si>
  <si>
    <t>Прохоров Денис</t>
  </si>
  <si>
    <t>1. Прохоров Денис</t>
  </si>
  <si>
    <t>Открытая (03.09.1992)/30</t>
  </si>
  <si>
    <t xml:space="preserve">FTZ </t>
  </si>
  <si>
    <t xml:space="preserve">Геворг </t>
  </si>
  <si>
    <t>-. Фатеев Сергей</t>
  </si>
  <si>
    <t>Мастера 55 - 59 (18.05.1965)/57</t>
  </si>
  <si>
    <t>88,00</t>
  </si>
  <si>
    <t>Папанов Иван</t>
  </si>
  <si>
    <t>1. Папанов Иван</t>
  </si>
  <si>
    <t>Открытая (30.01.1994)/28</t>
  </si>
  <si>
    <t>107,10</t>
  </si>
  <si>
    <t>157,5</t>
  </si>
  <si>
    <t>Старцев Андрей</t>
  </si>
  <si>
    <t>1. Старцев Андрей</t>
  </si>
  <si>
    <t>Мастера 45 - 49 (01.12.1976)/46</t>
  </si>
  <si>
    <t>104,10</t>
  </si>
  <si>
    <t xml:space="preserve">Юниорки </t>
  </si>
  <si>
    <t>48</t>
  </si>
  <si>
    <t>44</t>
  </si>
  <si>
    <t>Кубок силы 10
ПРО жим лежа без экипировки
Краснодар/Краснодарский край 24 - 25 декабря 2022 г.</t>
  </si>
  <si>
    <t>Макарова Марина</t>
  </si>
  <si>
    <t>1. Макарова Марина</t>
  </si>
  <si>
    <t>Открытая (30.03.1973)/49</t>
  </si>
  <si>
    <t>74,80</t>
  </si>
  <si>
    <t>Борисова Татьяна</t>
  </si>
  <si>
    <t>1. Борисова Татьяна</t>
  </si>
  <si>
    <t>Мастера 45 - 49 (04.06.1973)/49</t>
  </si>
  <si>
    <t>2. Макарова Марина</t>
  </si>
  <si>
    <t>Мастера 45 - 49 (30.03.1973)/49</t>
  </si>
  <si>
    <t>Приходько Александр</t>
  </si>
  <si>
    <t>1. Приходько Александр</t>
  </si>
  <si>
    <t>Открытая (26.11.1989)/33</t>
  </si>
  <si>
    <t>100,00</t>
  </si>
  <si>
    <t xml:space="preserve">Гулькевичи/Краснодарский край </t>
  </si>
  <si>
    <t>Кубок силы 10
Любители жим лежа в Софт экипировка однопетельная
Краснодар/Краснодарский край 24 - 25 декабря 2022 г.</t>
  </si>
  <si>
    <t>ВЕСОВАЯ КАТЕГОРИЯ   52</t>
  </si>
  <si>
    <t>Оробцова Елена</t>
  </si>
  <si>
    <t>1. Оробцова Елена</t>
  </si>
  <si>
    <t>Мастера 40 - 44 (07.06.1979)/43</t>
  </si>
  <si>
    <t>51,60</t>
  </si>
  <si>
    <t>52</t>
  </si>
  <si>
    <t>Кубок силы 10
ПРО жим лежа в Софт экипировка многопетельная
Краснодар/Краснодарский край 24 - 25 декабря 2022 г.</t>
  </si>
  <si>
    <t>Космынин Владимир</t>
  </si>
  <si>
    <t>1. Космынин Владимир</t>
  </si>
  <si>
    <t>Мастера 60 - 64 (12.06.1960)/62</t>
  </si>
  <si>
    <t>67,30</t>
  </si>
  <si>
    <t>Кубок силы 10
Любители становая тяга без экипировки
Краснодар/Краснодарский край 24 - 25 декабря 2022 г.</t>
  </si>
  <si>
    <t>Вьюхина Надежда</t>
  </si>
  <si>
    <t>1. Вьюхина Надежда</t>
  </si>
  <si>
    <t>Открытая (17.03.1985)/37</t>
  </si>
  <si>
    <t>50,00</t>
  </si>
  <si>
    <t xml:space="preserve">Святогор </t>
  </si>
  <si>
    <t xml:space="preserve">Вьюхина Н. Л. </t>
  </si>
  <si>
    <t>Мирошниченко Татьяна</t>
  </si>
  <si>
    <t>1. Мирошниченко Татьяна</t>
  </si>
  <si>
    <t>Открытая (11.03.1990)/32</t>
  </si>
  <si>
    <t>52,50</t>
  </si>
  <si>
    <t>107,5</t>
  </si>
  <si>
    <t>Блинникова Кристина</t>
  </si>
  <si>
    <t>2. Блинникова Кристина</t>
  </si>
  <si>
    <t>Открытая (08.04.1994)/28</t>
  </si>
  <si>
    <t>55,90</t>
  </si>
  <si>
    <t>Подставная Оксана</t>
  </si>
  <si>
    <t>3. Подставная Оксана</t>
  </si>
  <si>
    <t>Открытая (19.02.1989)/33</t>
  </si>
  <si>
    <t>55,00</t>
  </si>
  <si>
    <t>Василенко Ирина</t>
  </si>
  <si>
    <t>4. Василенко Ирина</t>
  </si>
  <si>
    <t>Открытая (14.05.1996)/26</t>
  </si>
  <si>
    <t>55,50</t>
  </si>
  <si>
    <t>Мастера 40 - 44 (24.03.1979)/43</t>
  </si>
  <si>
    <t>Васильченко Оксана</t>
  </si>
  <si>
    <t>2. Васильченко Оксана</t>
  </si>
  <si>
    <t>Открытая (23.03.1979)/43</t>
  </si>
  <si>
    <t>66,30</t>
  </si>
  <si>
    <t>Ефанова Кристина</t>
  </si>
  <si>
    <t>3. Ефанова Кристина</t>
  </si>
  <si>
    <t>Открытая (05.06.1989)/33</t>
  </si>
  <si>
    <t>65,80</t>
  </si>
  <si>
    <t>Мастера 40 - 44 (26.10.1981)/41</t>
  </si>
  <si>
    <t>1. Васильченко Оксана</t>
  </si>
  <si>
    <t>Мастера 40 - 44 (23.03.1979)/43</t>
  </si>
  <si>
    <t>Кондратенко Наталья</t>
  </si>
  <si>
    <t>2. Кондратенко Наталья</t>
  </si>
  <si>
    <t>Открытая (05.09.1988)/34</t>
  </si>
  <si>
    <t>70,50</t>
  </si>
  <si>
    <t>Окунева Оксана</t>
  </si>
  <si>
    <t>3. Окунева Оксана</t>
  </si>
  <si>
    <t>Открытая (18.02.1985)/37</t>
  </si>
  <si>
    <t>69,70</t>
  </si>
  <si>
    <t>Бондаренко Маргарита</t>
  </si>
  <si>
    <t>1. Бондаренко Маргарита</t>
  </si>
  <si>
    <t>Мастера 40 - 44 (08.07.1978)/44</t>
  </si>
  <si>
    <t>111,50</t>
  </si>
  <si>
    <t>152,5</t>
  </si>
  <si>
    <t>Шукшин Павел</t>
  </si>
  <si>
    <t>1. Шукшин Павел</t>
  </si>
  <si>
    <t>Юноши 14-15 (27.09.2008)/14</t>
  </si>
  <si>
    <t>Атаян Бениамин</t>
  </si>
  <si>
    <t>1. Атаян Бениамин</t>
  </si>
  <si>
    <t>Юноши 0-13 (10.05.2009)/13</t>
  </si>
  <si>
    <t>49,10</t>
  </si>
  <si>
    <t>Широкобородов Антон</t>
  </si>
  <si>
    <t>1. Широкобородов Антон</t>
  </si>
  <si>
    <t>Юноши 14-15 (18.11.2007)/15</t>
  </si>
  <si>
    <t xml:space="preserve">Star Gym Team </t>
  </si>
  <si>
    <t xml:space="preserve">Староминская/Краснодарский край </t>
  </si>
  <si>
    <t xml:space="preserve">Масляков Сергей Викторович </t>
  </si>
  <si>
    <t>Открытая (18.11.2007)/15</t>
  </si>
  <si>
    <t>Маслов Евгений</t>
  </si>
  <si>
    <t>1. Маслов Евгений</t>
  </si>
  <si>
    <t>Юноши 0-13 (31.01.2012)/10</t>
  </si>
  <si>
    <t>54,90</t>
  </si>
  <si>
    <t>Ахкубеков Марат</t>
  </si>
  <si>
    <t>1. Ахкубеков Марат</t>
  </si>
  <si>
    <t>Юноши 18 - 19 (25.03.2003)/19</t>
  </si>
  <si>
    <t>65,60</t>
  </si>
  <si>
    <t xml:space="preserve">Ингушев Черим Хажпагович </t>
  </si>
  <si>
    <t>Чупров Роман</t>
  </si>
  <si>
    <t>1. Чупров Роман</t>
  </si>
  <si>
    <t>Открытая (19.09.1990)/32</t>
  </si>
  <si>
    <t>67,40</t>
  </si>
  <si>
    <t xml:space="preserve">Планета железяка </t>
  </si>
  <si>
    <t>202,5</t>
  </si>
  <si>
    <t xml:space="preserve">Насонов Р. </t>
  </si>
  <si>
    <t>Масляков Сергей</t>
  </si>
  <si>
    <t>1. Масляков Сергей</t>
  </si>
  <si>
    <t>Открытая (14.03.1970)/52</t>
  </si>
  <si>
    <t>72,90</t>
  </si>
  <si>
    <t xml:space="preserve">Старжим </t>
  </si>
  <si>
    <t>195,0</t>
  </si>
  <si>
    <t xml:space="preserve">Самостоятельно </t>
  </si>
  <si>
    <t>172,5</t>
  </si>
  <si>
    <t>Мишенев Николай</t>
  </si>
  <si>
    <t>1. Мишенев Николай</t>
  </si>
  <si>
    <t>Юноши 0-13 (25.02.2009)/13</t>
  </si>
  <si>
    <t>Цатурян Артём</t>
  </si>
  <si>
    <t>1. Цатурян Артём</t>
  </si>
  <si>
    <t>Юноши 14-15 (19.09.2007)/15</t>
  </si>
  <si>
    <t>81,90</t>
  </si>
  <si>
    <t>247,5</t>
  </si>
  <si>
    <t>Baral Sukumar</t>
  </si>
  <si>
    <t>2. Baral Sukumar</t>
  </si>
  <si>
    <t>Открытая (01.12.1998)/24</t>
  </si>
  <si>
    <t>3. Третьяков Сергей</t>
  </si>
  <si>
    <t>Османов Руслан</t>
  </si>
  <si>
    <t>2. Османов Руслан</t>
  </si>
  <si>
    <t>Открытая (08.02.1984)/38</t>
  </si>
  <si>
    <t>89,70</t>
  </si>
  <si>
    <t xml:space="preserve">Чугунова Оксана </t>
  </si>
  <si>
    <t>255,0</t>
  </si>
  <si>
    <t>265,0</t>
  </si>
  <si>
    <t>275,0</t>
  </si>
  <si>
    <t>1. Давыдов Денис</t>
  </si>
  <si>
    <t>Таловасов Анатолий</t>
  </si>
  <si>
    <t>2. Таловасов Анатолий</t>
  </si>
  <si>
    <t>Открытая (01.12.1960)/62</t>
  </si>
  <si>
    <t>111,60</t>
  </si>
  <si>
    <t>237,5</t>
  </si>
  <si>
    <t>1. Таловасов Анатолий</t>
  </si>
  <si>
    <t>Мастера 60 - 64 (01.12.1960)/62</t>
  </si>
  <si>
    <t>Кубок силы 10
ПРО становая тяга без экипировки
Краснодар/Краснодарский край 24 - 25 декабря 2022 г.</t>
  </si>
  <si>
    <t>Кобзев Александр</t>
  </si>
  <si>
    <t>1. Кобзев Александр</t>
  </si>
  <si>
    <t>Мастера 40 - 44 (28.05.1982)/40</t>
  </si>
  <si>
    <t>109,70</t>
  </si>
  <si>
    <t xml:space="preserve">Valentin </t>
  </si>
  <si>
    <t xml:space="preserve">Седнев Денис </t>
  </si>
  <si>
    <t>Хазарьян Ашот</t>
  </si>
  <si>
    <t>1. Хазарьян Ашот</t>
  </si>
  <si>
    <t>Мастера 40 - 44 (23.06.1980)/42</t>
  </si>
  <si>
    <t>124,10</t>
  </si>
  <si>
    <t xml:space="preserve">Сильные Люди </t>
  </si>
  <si>
    <t>ВЕСОВАЯ КАТЕГОРИЯ   140+</t>
  </si>
  <si>
    <t>Баскаев Таймураз</t>
  </si>
  <si>
    <t>1. Баскаев Таймураз</t>
  </si>
  <si>
    <t>Открытая (21.03.1988)/34</t>
  </si>
  <si>
    <t>140,20</t>
  </si>
  <si>
    <t xml:space="preserve">Владикавказ/Северная Осетия - Алания </t>
  </si>
  <si>
    <t>330,0</t>
  </si>
  <si>
    <t>350,0</t>
  </si>
  <si>
    <t>140+</t>
  </si>
  <si>
    <t>Кубок силы 10
Любители становая тяга в софт экипировке
Краснодар/Краснодарский край 24 - 25 декабря 2022 г.</t>
  </si>
  <si>
    <t>Кубок силы 10
Любители присед без экипировки
Краснодар/Краснодарский край 24 - 25 декабря 2022 г.</t>
  </si>
  <si>
    <t>1. Василенко Ирина</t>
  </si>
  <si>
    <t>Открытая (01.01.1966)/56</t>
  </si>
  <si>
    <t>Кубок силы 10
ПРО присед без экипировки
Краснодар/Краснодарский край 24 - 25 декабря 2022 г.</t>
  </si>
  <si>
    <t>Махова Каролина</t>
  </si>
  <si>
    <t>1. Махова Каролина</t>
  </si>
  <si>
    <t>Юниорки 20 - 23 (04.01.2001)/21</t>
  </si>
  <si>
    <t>50,90</t>
  </si>
  <si>
    <t xml:space="preserve">Ингушев Ч.Х. </t>
  </si>
  <si>
    <t>Кубок силы 10
Силовое двоеборье любители
Краснодар/Краснодарский край 24 - 25 декабря 2022 г.</t>
  </si>
  <si>
    <t>Стрещенков Дмитрий</t>
  </si>
  <si>
    <t>1. Стрещенков Дмитрий</t>
  </si>
  <si>
    <t>Открытая (04.01.1979)/43</t>
  </si>
  <si>
    <t>99,30</t>
  </si>
  <si>
    <t>162,5</t>
  </si>
  <si>
    <t>рекорд мир</t>
  </si>
  <si>
    <t>рекорд</t>
  </si>
  <si>
    <t>Шапошник Дмитрий</t>
  </si>
  <si>
    <t xml:space="preserve">НАП Н.Ж. </t>
  </si>
  <si>
    <t xml:space="preserve">Карпов В.В. </t>
  </si>
  <si>
    <t xml:space="preserve">Луганск/Луганская область </t>
  </si>
  <si>
    <t xml:space="preserve">Фанат (Свердловск) </t>
  </si>
  <si>
    <t>87,70</t>
  </si>
  <si>
    <t>Мастера 40 - 44 (28.01.1980)/42</t>
  </si>
  <si>
    <t>1. Шапошник Дмитрий</t>
  </si>
  <si>
    <t>Открытая (28.01.1980)/42</t>
  </si>
  <si>
    <t>Мн.повт. жим</t>
  </si>
  <si>
    <t>НАП Н.Ж.</t>
  </si>
  <si>
    <t>Кубок силы 10 (Многоповторный)
Любители Военный жим многоповторный 1\2
Краснодар/Краснодарский край 24 - 25 декабря 2022 г.</t>
  </si>
  <si>
    <t>Прищепа Юрий</t>
  </si>
  <si>
    <t xml:space="preserve">Приходько А. </t>
  </si>
  <si>
    <t>22,0</t>
  </si>
  <si>
    <t>Открытая (30.07.1985)/37</t>
  </si>
  <si>
    <t>1. Прищепа Юрий</t>
  </si>
  <si>
    <t>Народный жим</t>
  </si>
  <si>
    <t>Кубок силы 10 (Многоповторный)
Профессионалы народный жим (1 вес)
Краснодар/Краснодарский край 24 - 25 декабря 2022 г.</t>
  </si>
  <si>
    <t>-. Виноградова Екатерина</t>
  </si>
  <si>
    <t>26,0</t>
  </si>
  <si>
    <t>51,0</t>
  </si>
  <si>
    <t>27,5</t>
  </si>
  <si>
    <t>Кубок силы 10 (Многоповторный)
Любители народный жим (1/2 вес)
Краснодар/Краснодарский край 24 - 25 декабря 2022 г.</t>
  </si>
  <si>
    <t>Рябцев Николай</t>
  </si>
  <si>
    <t>1. Османов Руслан</t>
  </si>
  <si>
    <t>66,50</t>
  </si>
  <si>
    <t>Открытая (03.02.1998)/24</t>
  </si>
  <si>
    <t>1. Рябцев Николай</t>
  </si>
  <si>
    <t>20,0</t>
  </si>
  <si>
    <t>2. Ефанова Кристина</t>
  </si>
  <si>
    <t>2. Чугунова Оксана</t>
  </si>
  <si>
    <t>37,5</t>
  </si>
  <si>
    <t>Подъем на бицепс</t>
  </si>
  <si>
    <t>Жим стоя</t>
  </si>
  <si>
    <t>Кубок силы 10 (Пауэрспорт)
Пауэрспорт Любители
Краснодар/Краснодарский край 24 - 25 декабря 2022 г.</t>
  </si>
  <si>
    <t>Фатеев Сергей</t>
  </si>
  <si>
    <t>Ивасенко Владислав</t>
  </si>
  <si>
    <t>1. Фатеев Сергей</t>
  </si>
  <si>
    <t>Открытая (18.12.1968)/54</t>
  </si>
  <si>
    <t>2. Цатурян Артём</t>
  </si>
  <si>
    <t>79,80</t>
  </si>
  <si>
    <t>Юноши 14-15 (24.01.2008)/14</t>
  </si>
  <si>
    <t>1. Ивасенко Владислав</t>
  </si>
  <si>
    <t>1. Смирнов Алексей</t>
  </si>
  <si>
    <t>2. Топалиди Георгий</t>
  </si>
  <si>
    <t>22,5</t>
  </si>
  <si>
    <t>17,5</t>
  </si>
  <si>
    <t>Кубок силы 10 (Пауэрспорт)
Одиночный подъём штанги на бицепс Любители
Краснодар/Краснодарский край 24 - 25 декабря 2022 г.</t>
  </si>
  <si>
    <t>1. Савёлов Дмитрий</t>
  </si>
  <si>
    <t>Кубок силы 10 (Пауэрспорт)
Одиночный жим штанги стоя Любители
Краснодар/Краснодарский край 24 - 25 декабря 2022 г.</t>
  </si>
  <si>
    <t>All</t>
  </si>
  <si>
    <t xml:space="preserve">Мастера 50 - 54 </t>
  </si>
  <si>
    <t>Руденко Елена</t>
  </si>
  <si>
    <t xml:space="preserve">Атлетизм </t>
  </si>
  <si>
    <t xml:space="preserve">Котов П.А. </t>
  </si>
  <si>
    <t>36,0</t>
  </si>
  <si>
    <t xml:space="preserve">SPORT LIFE </t>
  </si>
  <si>
    <t>87,00</t>
  </si>
  <si>
    <t>Мастера 50 - 54 (19.05.1970)/52</t>
  </si>
  <si>
    <t>1. Руденко Елена</t>
  </si>
  <si>
    <t>ВЕСОВАЯ КАТЕГОРИЯ   All</t>
  </si>
  <si>
    <t>Русская становая</t>
  </si>
  <si>
    <t>Атлетизм</t>
  </si>
  <si>
    <t>Кубок силы 10 (Русская)
Русская станова тяга профессионалы 125 кг.
Краснодар/Краснодарский край 24 - 25 декабря 2022 г.</t>
  </si>
  <si>
    <t>Мастера 50 - 54 (14.03.1970)/52</t>
  </si>
  <si>
    <t>21,0</t>
  </si>
  <si>
    <t>2. Широкобородов Антон</t>
  </si>
  <si>
    <t>16,0</t>
  </si>
  <si>
    <t>Кубок силы 10 (Русская)
Русская станова тяга любители 100 кг.
Краснодар/Краснодарский край 24 - 25 декабря 2022 г.</t>
  </si>
  <si>
    <t>Логинова Арина</t>
  </si>
  <si>
    <t>31,0</t>
  </si>
  <si>
    <t>Открытая (11.05.1996)/26</t>
  </si>
  <si>
    <t>1. Логинова Арина</t>
  </si>
  <si>
    <t>Кубок силы 10 (Русская)
Русская станова тяга любители 75 кг.
Краснодар/Краснодарский край 24 - 25 декабря 2022 г.</t>
  </si>
  <si>
    <t>Дубровина Марина</t>
  </si>
  <si>
    <t>Петрова Надежда</t>
  </si>
  <si>
    <t>49,90</t>
  </si>
  <si>
    <t>Мастера 45 - 49 (10.01.1977)/45</t>
  </si>
  <si>
    <t>1. Дубровина Марина</t>
  </si>
  <si>
    <t>55,20</t>
  </si>
  <si>
    <t>3. Мирошниченко Татьяна</t>
  </si>
  <si>
    <t>Открытая (10.01.1977)/45</t>
  </si>
  <si>
    <t>2. Дубровина Марина</t>
  </si>
  <si>
    <t>69,90</t>
  </si>
  <si>
    <t>Открытая (25.05.1985)/37</t>
  </si>
  <si>
    <t>1. Петрова Надежда</t>
  </si>
  <si>
    <t>Кубок силы 10 (Русская)
Русская станова тяга любители 55 кг.
Краснодар/Краснодарский край 24 - 25 декабря 2022 г.</t>
  </si>
  <si>
    <t>Тотруков Рустам</t>
  </si>
  <si>
    <t>Калмыков Астемир</t>
  </si>
  <si>
    <t>Алексеев Олег</t>
  </si>
  <si>
    <t>Нагоев Тембулат</t>
  </si>
  <si>
    <t>Кагазежев Азат</t>
  </si>
  <si>
    <t>Каракизов Ислам</t>
  </si>
  <si>
    <t>Ингушев Марат</t>
  </si>
  <si>
    <t>Варитлов Аслан</t>
  </si>
  <si>
    <t>48,0</t>
  </si>
  <si>
    <t>97,70</t>
  </si>
  <si>
    <t>Мастера 40 - 44 (08.11.1980)/42</t>
  </si>
  <si>
    <t>1. Тотруков Рустам</t>
  </si>
  <si>
    <t>63,70</t>
  </si>
  <si>
    <t>Юниоры 20 - 23 (30.09.2001)/21</t>
  </si>
  <si>
    <t>2. Калмыков Астемир</t>
  </si>
  <si>
    <t>77,80</t>
  </si>
  <si>
    <t>Юниоры 20 - 23 (23.01.2002)/20</t>
  </si>
  <si>
    <t>1. Алексеев Олег</t>
  </si>
  <si>
    <t>23,0</t>
  </si>
  <si>
    <t>64,70</t>
  </si>
  <si>
    <t>Юноши 18 - 19 (07.09.2003)/19</t>
  </si>
  <si>
    <t>5. Нагоев Тембулат</t>
  </si>
  <si>
    <t>24,0</t>
  </si>
  <si>
    <t>57,60</t>
  </si>
  <si>
    <t>Юноши 18 - 19 (31.08.2003)/19</t>
  </si>
  <si>
    <t>4. Кагазежев Азат</t>
  </si>
  <si>
    <t>42,0</t>
  </si>
  <si>
    <t>95,50</t>
  </si>
  <si>
    <t>Юноши 18 - 19 (17.06.2003)/19</t>
  </si>
  <si>
    <t>3. Каракизов Ислам</t>
  </si>
  <si>
    <t>44,0</t>
  </si>
  <si>
    <t>66,00</t>
  </si>
  <si>
    <t>Юноши 18 - 19 (15.10.2003)/19</t>
  </si>
  <si>
    <t>2. Варитлов Аслан</t>
  </si>
  <si>
    <t>47,0</t>
  </si>
  <si>
    <t>89,10</t>
  </si>
  <si>
    <t>Юноши 18 - 19 (22.06.2004)/18</t>
  </si>
  <si>
    <t>1. Ингушев Марат</t>
  </si>
  <si>
    <t>Подъем на бицепс мн.повт.</t>
  </si>
  <si>
    <t>Кубок силы 10 (Русская)
Русский бицепс профессионалы 50 кг.
Краснодар/Краснодарский край 24 - 25 декабря 2022 г.</t>
  </si>
  <si>
    <t>Кубок силы 10 (Русская)
Русский бицепс профессионалы 30 кг.
Краснодар/Краснодарский край 24 - 25 декабря 2022 г.</t>
  </si>
  <si>
    <t>Русский жим</t>
  </si>
  <si>
    <t>Кубок силы 10 (Русская)
Русский жим любители 55 кг.
Краснодар/Краснодарский край 24 - 25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</si>
</sst>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left"/>
    </xf>
    <xf numFmtId="0" fontId="0" fillId="2" borderId="11" xfId="0" applyNumberFormat="1" applyFont="1" applyFill="1" applyBorder="1" applyAlignment="1">
      <alignment horizontal="left"/>
    </xf>
    <xf numFmtId="49" fontId="6" fillId="2" borderId="11" xfId="0" applyNumberFormat="1" applyFont="1" applyFill="1" applyBorder="1" applyAlignment="1">
      <alignment horizontal="center"/>
    </xf>
    <xf numFmtId="49" fontId="0" fillId="2" borderId="11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left"/>
    </xf>
    <xf numFmtId="0" fontId="1" fillId="2" borderId="11" xfId="0" applyNumberFormat="1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left"/>
    </xf>
    <xf numFmtId="0" fontId="0" fillId="2" borderId="8" xfId="0" applyNumberFormat="1" applyFont="1" applyFill="1" applyBorder="1" applyAlignment="1">
      <alignment horizontal="left"/>
    </xf>
    <xf numFmtId="49" fontId="0" fillId="2" borderId="8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left"/>
    </xf>
    <xf numFmtId="0" fontId="0" fillId="2" borderId="12" xfId="0" applyNumberFormat="1" applyFont="1" applyFill="1" applyBorder="1" applyAlignment="1">
      <alignment horizontal="left"/>
    </xf>
    <xf numFmtId="49" fontId="0" fillId="2" borderId="12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left"/>
    </xf>
    <xf numFmtId="0" fontId="1" fillId="2" borderId="12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0" fillId="2" borderId="13" xfId="0" applyNumberFormat="1" applyFont="1" applyFill="1" applyBorder="1" applyAlignment="1">
      <alignment horizontal="left"/>
    </xf>
    <xf numFmtId="0" fontId="1" fillId="2" borderId="13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left"/>
    </xf>
    <xf numFmtId="49" fontId="0" fillId="2" borderId="13" xfId="0" applyNumberFormat="1" applyFont="1" applyFill="1" applyBorder="1" applyAlignment="1">
      <alignment horizontal="center"/>
    </xf>
    <xf numFmtId="0" fontId="0" fillId="2" borderId="1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A3" sqref="A3:A4"/>
    </sheetView>
  </sheetViews>
  <sheetFormatPr defaultRowHeight="12.75" x14ac:dyDescent="0.2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8" bestFit="1" customWidth="1"/>
    <col min="24" max="24" width="8.5703125" style="9" bestFit="1" customWidth="1"/>
    <col min="25" max="25" width="23" style="4" bestFit="1" customWidth="1"/>
    <col min="26" max="16384" width="9.140625" style="3"/>
  </cols>
  <sheetData>
    <row r="1" spans="1:25" s="2" customFormat="1" ht="15" customHeight="1" x14ac:dyDescent="0.2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</row>
    <row r="2" spans="1:25" s="2" customFormat="1" ht="66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</row>
    <row r="3" spans="1:25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6</v>
      </c>
      <c r="E3" s="77" t="s">
        <v>4</v>
      </c>
      <c r="F3" s="77" t="s">
        <v>8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5" t="s">
        <v>1</v>
      </c>
      <c r="X3" s="75" t="s">
        <v>3</v>
      </c>
      <c r="Y3" s="78" t="s">
        <v>2</v>
      </c>
    </row>
    <row r="4" spans="1:25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10" t="s">
        <v>9</v>
      </c>
      <c r="T4" s="10" t="s">
        <v>10</v>
      </c>
      <c r="U4" s="10" t="s">
        <v>9</v>
      </c>
      <c r="V4" s="10" t="s">
        <v>10</v>
      </c>
      <c r="W4" s="76"/>
      <c r="X4" s="76"/>
      <c r="Y4" s="79"/>
    </row>
    <row r="5" spans="1:25" x14ac:dyDescent="0.2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15.5703125" style="4" bestFit="1" customWidth="1"/>
    <col min="14" max="16384" width="9.140625" style="3"/>
  </cols>
  <sheetData>
    <row r="1" spans="1:13" s="2" customFormat="1" ht="29.1" customHeight="1" x14ac:dyDescent="0.2">
      <c r="A1" s="82" t="s">
        <v>475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121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11" t="s">
        <v>477</v>
      </c>
      <c r="B6" s="11" t="s">
        <v>478</v>
      </c>
      <c r="C6" s="11" t="s">
        <v>479</v>
      </c>
      <c r="D6" s="12" t="str">
        <f>"0,7233"</f>
        <v>0,7233</v>
      </c>
      <c r="E6" s="11" t="s">
        <v>22</v>
      </c>
      <c r="F6" s="11" t="s">
        <v>23</v>
      </c>
      <c r="G6" s="13" t="s">
        <v>85</v>
      </c>
      <c r="H6" s="14" t="s">
        <v>108</v>
      </c>
      <c r="I6" s="14" t="s">
        <v>108</v>
      </c>
      <c r="J6" s="14"/>
      <c r="K6" s="15" t="str">
        <f>"30,0"</f>
        <v>30,0</v>
      </c>
      <c r="L6" s="16" t="str">
        <f>"21,7005"</f>
        <v>21,7005</v>
      </c>
      <c r="M6" s="11" t="s">
        <v>33</v>
      </c>
    </row>
    <row r="7" spans="1:13" x14ac:dyDescent="0.2">
      <c r="A7" s="39" t="s">
        <v>481</v>
      </c>
      <c r="B7" s="39" t="s">
        <v>482</v>
      </c>
      <c r="C7" s="39" t="s">
        <v>479</v>
      </c>
      <c r="D7" s="40" t="str">
        <f>"0,7233"</f>
        <v>0,7233</v>
      </c>
      <c r="E7" s="39" t="s">
        <v>194</v>
      </c>
      <c r="F7" s="39" t="s">
        <v>195</v>
      </c>
      <c r="G7" s="41" t="s">
        <v>100</v>
      </c>
      <c r="H7" s="41" t="s">
        <v>87</v>
      </c>
      <c r="I7" s="41" t="s">
        <v>105</v>
      </c>
      <c r="J7" s="42"/>
      <c r="K7" s="43" t="str">
        <f>"75,0"</f>
        <v>75,0</v>
      </c>
      <c r="L7" s="44" t="str">
        <f>"62,0634"</f>
        <v>62,0634</v>
      </c>
      <c r="M7" s="39" t="s">
        <v>395</v>
      </c>
    </row>
    <row r="8" spans="1:13" x14ac:dyDescent="0.2">
      <c r="A8" s="17" t="s">
        <v>483</v>
      </c>
      <c r="B8" s="17" t="s">
        <v>484</v>
      </c>
      <c r="C8" s="17" t="s">
        <v>479</v>
      </c>
      <c r="D8" s="18" t="str">
        <f>"0,7233"</f>
        <v>0,7233</v>
      </c>
      <c r="E8" s="17" t="s">
        <v>22</v>
      </c>
      <c r="F8" s="17" t="s">
        <v>23</v>
      </c>
      <c r="G8" s="19" t="s">
        <v>85</v>
      </c>
      <c r="H8" s="20" t="s">
        <v>108</v>
      </c>
      <c r="I8" s="20" t="s">
        <v>108</v>
      </c>
      <c r="J8" s="20"/>
      <c r="K8" s="21" t="str">
        <f>"30,0"</f>
        <v>30,0</v>
      </c>
      <c r="L8" s="22" t="str">
        <f>"24,8254"</f>
        <v>24,8254</v>
      </c>
      <c r="M8" s="17" t="s">
        <v>33</v>
      </c>
    </row>
    <row r="10" spans="1:13" ht="15" x14ac:dyDescent="0.2">
      <c r="A10" s="83" t="s">
        <v>17</v>
      </c>
      <c r="B10" s="84"/>
      <c r="C10" s="84"/>
      <c r="D10" s="84"/>
      <c r="E10" s="84"/>
      <c r="F10" s="84"/>
      <c r="G10" s="84"/>
      <c r="H10" s="84"/>
      <c r="I10" s="84"/>
      <c r="J10" s="84"/>
    </row>
    <row r="11" spans="1:13" x14ac:dyDescent="0.2">
      <c r="A11" s="23" t="s">
        <v>486</v>
      </c>
      <c r="B11" s="23" t="s">
        <v>487</v>
      </c>
      <c r="C11" s="23" t="s">
        <v>488</v>
      </c>
      <c r="D11" s="24" t="str">
        <f>"0,5540"</f>
        <v>0,5540</v>
      </c>
      <c r="E11" s="23" t="s">
        <v>441</v>
      </c>
      <c r="F11" s="23" t="s">
        <v>489</v>
      </c>
      <c r="G11" s="25" t="s">
        <v>27</v>
      </c>
      <c r="H11" s="25" t="s">
        <v>101</v>
      </c>
      <c r="I11" s="25" t="s">
        <v>45</v>
      </c>
      <c r="J11" s="26"/>
      <c r="K11" s="27" t="str">
        <f>"170,0"</f>
        <v>170,0</v>
      </c>
      <c r="L11" s="28" t="str">
        <f>"94,1800"</f>
        <v>94,1800</v>
      </c>
      <c r="M11" s="23" t="s">
        <v>199</v>
      </c>
    </row>
    <row r="13" spans="1:13" ht="15" x14ac:dyDescent="0.2">
      <c r="E13" s="29" t="s">
        <v>57</v>
      </c>
    </row>
    <row r="14" spans="1:13" ht="15" x14ac:dyDescent="0.2">
      <c r="E14" s="29" t="s">
        <v>58</v>
      </c>
    </row>
    <row r="15" spans="1:13" ht="15" x14ac:dyDescent="0.2">
      <c r="E15" s="29" t="s">
        <v>59</v>
      </c>
    </row>
    <row r="16" spans="1:13" ht="15" x14ac:dyDescent="0.2">
      <c r="E16" s="29" t="s">
        <v>60</v>
      </c>
    </row>
    <row r="17" spans="1:5" ht="15" x14ac:dyDescent="0.2">
      <c r="E17" s="29" t="s">
        <v>60</v>
      </c>
    </row>
    <row r="18" spans="1:5" ht="15" x14ac:dyDescent="0.2">
      <c r="E18" s="29" t="s">
        <v>61</v>
      </c>
    </row>
    <row r="19" spans="1:5" ht="15" x14ac:dyDescent="0.2">
      <c r="E19" s="29"/>
    </row>
    <row r="21" spans="1:5" ht="18" x14ac:dyDescent="0.25">
      <c r="A21" s="30" t="s">
        <v>62</v>
      </c>
      <c r="B21" s="30"/>
    </row>
    <row r="22" spans="1:5" ht="15" x14ac:dyDescent="0.2">
      <c r="A22" s="31" t="s">
        <v>266</v>
      </c>
      <c r="B22" s="31"/>
    </row>
    <row r="23" spans="1:5" ht="14.25" x14ac:dyDescent="0.2">
      <c r="A23" s="33"/>
      <c r="B23" s="34" t="s">
        <v>64</v>
      </c>
    </row>
    <row r="24" spans="1:5" ht="15" x14ac:dyDescent="0.2">
      <c r="A24" s="35" t="s">
        <v>65</v>
      </c>
      <c r="B24" s="35" t="s">
        <v>66</v>
      </c>
      <c r="C24" s="35" t="s">
        <v>67</v>
      </c>
      <c r="D24" s="36" t="s">
        <v>366</v>
      </c>
      <c r="E24" s="35" t="s">
        <v>69</v>
      </c>
    </row>
    <row r="25" spans="1:5" x14ac:dyDescent="0.2">
      <c r="A25" s="32" t="s">
        <v>476</v>
      </c>
      <c r="B25" s="4" t="s">
        <v>64</v>
      </c>
      <c r="C25" s="4" t="s">
        <v>271</v>
      </c>
      <c r="D25" s="37">
        <v>30</v>
      </c>
      <c r="E25" s="38">
        <v>21.700499653816198</v>
      </c>
    </row>
    <row r="27" spans="1:5" ht="14.25" x14ac:dyDescent="0.2">
      <c r="A27" s="33"/>
      <c r="B27" s="34" t="s">
        <v>73</v>
      </c>
    </row>
    <row r="28" spans="1:5" ht="15" x14ac:dyDescent="0.2">
      <c r="A28" s="35" t="s">
        <v>65</v>
      </c>
      <c r="B28" s="35" t="s">
        <v>66</v>
      </c>
      <c r="C28" s="35" t="s">
        <v>67</v>
      </c>
      <c r="D28" s="36" t="s">
        <v>366</v>
      </c>
      <c r="E28" s="35" t="s">
        <v>69</v>
      </c>
    </row>
    <row r="29" spans="1:5" x14ac:dyDescent="0.2">
      <c r="A29" s="32" t="s">
        <v>480</v>
      </c>
      <c r="B29" s="4" t="s">
        <v>275</v>
      </c>
      <c r="C29" s="4" t="s">
        <v>271</v>
      </c>
      <c r="D29" s="37">
        <v>75</v>
      </c>
      <c r="E29" s="38">
        <v>62.063429009914401</v>
      </c>
    </row>
    <row r="30" spans="1:5" x14ac:dyDescent="0.2">
      <c r="A30" s="32" t="s">
        <v>476</v>
      </c>
      <c r="B30" s="4" t="s">
        <v>275</v>
      </c>
      <c r="C30" s="4" t="s">
        <v>271</v>
      </c>
      <c r="D30" s="37">
        <v>30</v>
      </c>
      <c r="E30" s="38">
        <v>24.825371603965799</v>
      </c>
    </row>
    <row r="33" spans="1:5" ht="15" x14ac:dyDescent="0.2">
      <c r="A33" s="31" t="s">
        <v>63</v>
      </c>
      <c r="B33" s="31"/>
    </row>
    <row r="34" spans="1:5" ht="14.25" x14ac:dyDescent="0.2">
      <c r="A34" s="33"/>
      <c r="B34" s="34" t="s">
        <v>64</v>
      </c>
    </row>
    <row r="35" spans="1:5" ht="15" x14ac:dyDescent="0.2">
      <c r="A35" s="35" t="s">
        <v>65</v>
      </c>
      <c r="B35" s="35" t="s">
        <v>66</v>
      </c>
      <c r="C35" s="35" t="s">
        <v>67</v>
      </c>
      <c r="D35" s="36" t="s">
        <v>366</v>
      </c>
      <c r="E35" s="35" t="s">
        <v>69</v>
      </c>
    </row>
    <row r="36" spans="1:5" x14ac:dyDescent="0.2">
      <c r="A36" s="32" t="s">
        <v>485</v>
      </c>
      <c r="B36" s="4" t="s">
        <v>64</v>
      </c>
      <c r="C36" s="4" t="s">
        <v>70</v>
      </c>
      <c r="D36" s="37">
        <v>170</v>
      </c>
      <c r="E36" s="38">
        <v>94.180003404617295</v>
      </c>
    </row>
  </sheetData>
  <mergeCells count="13">
    <mergeCell ref="A10:J1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5" bestFit="1" customWidth="1"/>
    <col min="5" max="5" width="25.140625" style="4" bestFit="1" customWidth="1"/>
    <col min="6" max="6" width="38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82" t="s">
        <v>383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76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324</v>
      </c>
      <c r="B6" s="23" t="s">
        <v>325</v>
      </c>
      <c r="C6" s="23" t="s">
        <v>326</v>
      </c>
      <c r="D6" s="24" t="str">
        <f>"0,9284"</f>
        <v>0,9284</v>
      </c>
      <c r="E6" s="23" t="s">
        <v>222</v>
      </c>
      <c r="F6" s="23" t="s">
        <v>195</v>
      </c>
      <c r="G6" s="25" t="s">
        <v>83</v>
      </c>
      <c r="H6" s="25" t="s">
        <v>98</v>
      </c>
      <c r="I6" s="25" t="s">
        <v>297</v>
      </c>
      <c r="J6" s="26"/>
      <c r="K6" s="27" t="str">
        <f>"57,5"</f>
        <v>57,5</v>
      </c>
      <c r="L6" s="28" t="str">
        <f>"53,3830"</f>
        <v>53,3830</v>
      </c>
      <c r="M6" s="23" t="s">
        <v>199</v>
      </c>
    </row>
    <row r="8" spans="1:13" ht="15" x14ac:dyDescent="0.2">
      <c r="A8" s="83" t="s">
        <v>91</v>
      </c>
      <c r="B8" s="84"/>
      <c r="C8" s="84"/>
      <c r="D8" s="84"/>
      <c r="E8" s="84"/>
      <c r="F8" s="84"/>
      <c r="G8" s="84"/>
      <c r="H8" s="84"/>
      <c r="I8" s="84"/>
      <c r="J8" s="84"/>
    </row>
    <row r="9" spans="1:13" x14ac:dyDescent="0.2">
      <c r="A9" s="23" t="s">
        <v>93</v>
      </c>
      <c r="B9" s="23" t="s">
        <v>94</v>
      </c>
      <c r="C9" s="23" t="s">
        <v>95</v>
      </c>
      <c r="D9" s="24" t="str">
        <f>"0,8609"</f>
        <v>0,8609</v>
      </c>
      <c r="E9" s="23" t="s">
        <v>22</v>
      </c>
      <c r="F9" s="23" t="s">
        <v>23</v>
      </c>
      <c r="G9" s="25" t="s">
        <v>98</v>
      </c>
      <c r="H9" s="25" t="s">
        <v>99</v>
      </c>
      <c r="I9" s="25" t="s">
        <v>100</v>
      </c>
      <c r="J9" s="26"/>
      <c r="K9" s="27" t="str">
        <f>"65,0"</f>
        <v>65,0</v>
      </c>
      <c r="L9" s="28" t="str">
        <f>"55,9585"</f>
        <v>55,9585</v>
      </c>
      <c r="M9" s="23" t="s">
        <v>33</v>
      </c>
    </row>
    <row r="11" spans="1:13" ht="15" x14ac:dyDescent="0.2">
      <c r="A11" s="83" t="s">
        <v>112</v>
      </c>
      <c r="B11" s="84"/>
      <c r="C11" s="84"/>
      <c r="D11" s="84"/>
      <c r="E11" s="84"/>
      <c r="F11" s="84"/>
      <c r="G11" s="84"/>
      <c r="H11" s="84"/>
      <c r="I11" s="84"/>
      <c r="J11" s="84"/>
    </row>
    <row r="12" spans="1:13" x14ac:dyDescent="0.2">
      <c r="A12" s="11" t="s">
        <v>385</v>
      </c>
      <c r="B12" s="11" t="s">
        <v>386</v>
      </c>
      <c r="C12" s="11" t="s">
        <v>387</v>
      </c>
      <c r="D12" s="12" t="str">
        <f>"0,7933"</f>
        <v>0,7933</v>
      </c>
      <c r="E12" s="11" t="s">
        <v>194</v>
      </c>
      <c r="F12" s="11" t="s">
        <v>240</v>
      </c>
      <c r="G12" s="13" t="s">
        <v>83</v>
      </c>
      <c r="H12" s="14" t="s">
        <v>98</v>
      </c>
      <c r="I12" s="13" t="s">
        <v>98</v>
      </c>
      <c r="J12" s="14"/>
      <c r="K12" s="15" t="str">
        <f>"55,0"</f>
        <v>55,0</v>
      </c>
      <c r="L12" s="16" t="str">
        <f>"44,0678"</f>
        <v>44,0678</v>
      </c>
      <c r="M12" s="11" t="s">
        <v>388</v>
      </c>
    </row>
    <row r="13" spans="1:13" x14ac:dyDescent="0.2">
      <c r="A13" s="17" t="s">
        <v>390</v>
      </c>
      <c r="B13" s="17" t="s">
        <v>391</v>
      </c>
      <c r="C13" s="17" t="s">
        <v>392</v>
      </c>
      <c r="D13" s="18" t="str">
        <f>"0,7832"</f>
        <v>0,7832</v>
      </c>
      <c r="E13" s="17" t="s">
        <v>194</v>
      </c>
      <c r="F13" s="17" t="s">
        <v>393</v>
      </c>
      <c r="G13" s="19" t="s">
        <v>87</v>
      </c>
      <c r="H13" s="19" t="s">
        <v>394</v>
      </c>
      <c r="I13" s="20" t="s">
        <v>88</v>
      </c>
      <c r="J13" s="20"/>
      <c r="K13" s="21" t="str">
        <f>"72,5"</f>
        <v>72,5</v>
      </c>
      <c r="L13" s="22" t="str">
        <f>"56,7820"</f>
        <v>56,7820</v>
      </c>
      <c r="M13" s="17" t="s">
        <v>395</v>
      </c>
    </row>
    <row r="15" spans="1:13" ht="15" x14ac:dyDescent="0.2">
      <c r="A15" s="83" t="s">
        <v>121</v>
      </c>
      <c r="B15" s="84"/>
      <c r="C15" s="84"/>
      <c r="D15" s="84"/>
      <c r="E15" s="84"/>
      <c r="F15" s="84"/>
      <c r="G15" s="84"/>
      <c r="H15" s="84"/>
      <c r="I15" s="84"/>
      <c r="J15" s="84"/>
    </row>
    <row r="16" spans="1:13" x14ac:dyDescent="0.2">
      <c r="A16" s="23" t="s">
        <v>397</v>
      </c>
      <c r="B16" s="23" t="s">
        <v>398</v>
      </c>
      <c r="C16" s="23" t="s">
        <v>399</v>
      </c>
      <c r="D16" s="24" t="str">
        <f>"0,7717"</f>
        <v>0,7717</v>
      </c>
      <c r="E16" s="23" t="s">
        <v>194</v>
      </c>
      <c r="F16" s="23" t="s">
        <v>195</v>
      </c>
      <c r="G16" s="25" t="s">
        <v>81</v>
      </c>
      <c r="H16" s="26" t="s">
        <v>82</v>
      </c>
      <c r="I16" s="26" t="s">
        <v>82</v>
      </c>
      <c r="J16" s="26"/>
      <c r="K16" s="27" t="str">
        <f>"40,0"</f>
        <v>40,0</v>
      </c>
      <c r="L16" s="28" t="str">
        <f>"30,8680"</f>
        <v>30,8680</v>
      </c>
      <c r="M16" s="23" t="s">
        <v>199</v>
      </c>
    </row>
    <row r="18" spans="1:13" ht="15" x14ac:dyDescent="0.2">
      <c r="A18" s="83" t="s">
        <v>400</v>
      </c>
      <c r="B18" s="84"/>
      <c r="C18" s="84"/>
      <c r="D18" s="84"/>
      <c r="E18" s="84"/>
      <c r="F18" s="84"/>
      <c r="G18" s="84"/>
      <c r="H18" s="84"/>
      <c r="I18" s="84"/>
      <c r="J18" s="84"/>
    </row>
    <row r="19" spans="1:13" x14ac:dyDescent="0.2">
      <c r="A19" s="23" t="s">
        <v>402</v>
      </c>
      <c r="B19" s="23" t="s">
        <v>403</v>
      </c>
      <c r="C19" s="23" t="s">
        <v>404</v>
      </c>
      <c r="D19" s="24" t="str">
        <f>"1,3133"</f>
        <v>1,3133</v>
      </c>
      <c r="E19" s="23" t="s">
        <v>405</v>
      </c>
      <c r="F19" s="23" t="s">
        <v>406</v>
      </c>
      <c r="G19" s="25" t="s">
        <v>84</v>
      </c>
      <c r="H19" s="25" t="s">
        <v>85</v>
      </c>
      <c r="I19" s="25" t="s">
        <v>86</v>
      </c>
      <c r="J19" s="26"/>
      <c r="K19" s="27" t="str">
        <f>"32,5"</f>
        <v>32,5</v>
      </c>
      <c r="L19" s="28" t="str">
        <f>"52,4992"</f>
        <v>52,4992</v>
      </c>
      <c r="M19" s="23" t="s">
        <v>407</v>
      </c>
    </row>
    <row r="21" spans="1:13" ht="15" x14ac:dyDescent="0.2">
      <c r="A21" s="83" t="s">
        <v>408</v>
      </c>
      <c r="B21" s="84"/>
      <c r="C21" s="84"/>
      <c r="D21" s="84"/>
      <c r="E21" s="84"/>
      <c r="F21" s="84"/>
      <c r="G21" s="84"/>
      <c r="H21" s="84"/>
      <c r="I21" s="84"/>
      <c r="J21" s="84"/>
    </row>
    <row r="22" spans="1:13" x14ac:dyDescent="0.2">
      <c r="A22" s="11" t="s">
        <v>410</v>
      </c>
      <c r="B22" s="11" t="s">
        <v>411</v>
      </c>
      <c r="C22" s="11" t="s">
        <v>412</v>
      </c>
      <c r="D22" s="12" t="str">
        <f>"1,0577"</f>
        <v>1,0577</v>
      </c>
      <c r="E22" s="11" t="s">
        <v>194</v>
      </c>
      <c r="F22" s="11" t="s">
        <v>413</v>
      </c>
      <c r="G22" s="13" t="s">
        <v>82</v>
      </c>
      <c r="H22" s="13" t="s">
        <v>414</v>
      </c>
      <c r="I22" s="14" t="s">
        <v>98</v>
      </c>
      <c r="J22" s="14"/>
      <c r="K22" s="15" t="str">
        <f>"53,5"</f>
        <v>53,5</v>
      </c>
      <c r="L22" s="16" t="str">
        <f>"69,6020"</f>
        <v>69,6020</v>
      </c>
      <c r="M22" s="11" t="s">
        <v>199</v>
      </c>
    </row>
    <row r="23" spans="1:13" x14ac:dyDescent="0.2">
      <c r="A23" s="17" t="s">
        <v>416</v>
      </c>
      <c r="B23" s="17" t="s">
        <v>417</v>
      </c>
      <c r="C23" s="17" t="s">
        <v>418</v>
      </c>
      <c r="D23" s="18" t="str">
        <f>"1,0469"</f>
        <v>1,0469</v>
      </c>
      <c r="E23" s="17" t="s">
        <v>405</v>
      </c>
      <c r="F23" s="17" t="s">
        <v>406</v>
      </c>
      <c r="G23" s="19" t="s">
        <v>98</v>
      </c>
      <c r="H23" s="19" t="s">
        <v>99</v>
      </c>
      <c r="I23" s="20" t="s">
        <v>100</v>
      </c>
      <c r="J23" s="20"/>
      <c r="K23" s="21" t="str">
        <f>"60,0"</f>
        <v>60,0</v>
      </c>
      <c r="L23" s="22" t="str">
        <f>"77,2612"</f>
        <v>77,2612</v>
      </c>
      <c r="M23" s="17" t="s">
        <v>407</v>
      </c>
    </row>
    <row r="25" spans="1:13" ht="15" x14ac:dyDescent="0.2">
      <c r="A25" s="83" t="s">
        <v>91</v>
      </c>
      <c r="B25" s="84"/>
      <c r="C25" s="84"/>
      <c r="D25" s="84"/>
      <c r="E25" s="84"/>
      <c r="F25" s="84"/>
      <c r="G25" s="84"/>
      <c r="H25" s="84"/>
      <c r="I25" s="84"/>
      <c r="J25" s="84"/>
    </row>
    <row r="26" spans="1:13" x14ac:dyDescent="0.2">
      <c r="A26" s="23" t="s">
        <v>420</v>
      </c>
      <c r="B26" s="23" t="s">
        <v>421</v>
      </c>
      <c r="C26" s="23" t="s">
        <v>422</v>
      </c>
      <c r="D26" s="24" t="str">
        <f>"0,8361"</f>
        <v>0,8361</v>
      </c>
      <c r="E26" s="23" t="s">
        <v>194</v>
      </c>
      <c r="F26" s="23" t="s">
        <v>240</v>
      </c>
      <c r="G26" s="25" t="s">
        <v>423</v>
      </c>
      <c r="H26" s="25" t="s">
        <v>96</v>
      </c>
      <c r="I26" s="25" t="s">
        <v>168</v>
      </c>
      <c r="J26" s="26"/>
      <c r="K26" s="27" t="str">
        <f>"105,0"</f>
        <v>105,0</v>
      </c>
      <c r="L26" s="28" t="str">
        <f>"87,7905"</f>
        <v>87,7905</v>
      </c>
      <c r="M26" s="23" t="s">
        <v>424</v>
      </c>
    </row>
    <row r="28" spans="1:13" ht="15" x14ac:dyDescent="0.2">
      <c r="A28" s="83" t="s">
        <v>112</v>
      </c>
      <c r="B28" s="84"/>
      <c r="C28" s="84"/>
      <c r="D28" s="84"/>
      <c r="E28" s="84"/>
      <c r="F28" s="84"/>
      <c r="G28" s="84"/>
      <c r="H28" s="84"/>
      <c r="I28" s="84"/>
      <c r="J28" s="84"/>
    </row>
    <row r="29" spans="1:13" x14ac:dyDescent="0.2">
      <c r="A29" s="23" t="s">
        <v>153</v>
      </c>
      <c r="B29" s="23" t="s">
        <v>154</v>
      </c>
      <c r="C29" s="23" t="s">
        <v>155</v>
      </c>
      <c r="D29" s="24" t="str">
        <f>"0,7337"</f>
        <v>0,7337</v>
      </c>
      <c r="E29" s="23" t="s">
        <v>117</v>
      </c>
      <c r="F29" s="23" t="s">
        <v>118</v>
      </c>
      <c r="G29" s="25" t="s">
        <v>89</v>
      </c>
      <c r="H29" s="26" t="s">
        <v>96</v>
      </c>
      <c r="I29" s="25" t="s">
        <v>96</v>
      </c>
      <c r="J29" s="26"/>
      <c r="K29" s="27" t="str">
        <f>"100,0"</f>
        <v>100,0</v>
      </c>
      <c r="L29" s="28" t="str">
        <f>"77,7722"</f>
        <v>77,7722</v>
      </c>
      <c r="M29" s="23" t="s">
        <v>119</v>
      </c>
    </row>
    <row r="31" spans="1:13" ht="15" x14ac:dyDescent="0.2">
      <c r="A31" s="83" t="s">
        <v>121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3" x14ac:dyDescent="0.2">
      <c r="A32" s="11" t="s">
        <v>426</v>
      </c>
      <c r="B32" s="11" t="s">
        <v>427</v>
      </c>
      <c r="C32" s="11" t="s">
        <v>428</v>
      </c>
      <c r="D32" s="12" t="str">
        <f>"0,6812"</f>
        <v>0,6812</v>
      </c>
      <c r="E32" s="11" t="s">
        <v>429</v>
      </c>
      <c r="F32" s="11" t="s">
        <v>430</v>
      </c>
      <c r="G32" s="13" t="s">
        <v>168</v>
      </c>
      <c r="H32" s="13" t="s">
        <v>109</v>
      </c>
      <c r="I32" s="13" t="s">
        <v>133</v>
      </c>
      <c r="J32" s="14"/>
      <c r="K32" s="15" t="str">
        <f>"120,0"</f>
        <v>120,0</v>
      </c>
      <c r="L32" s="16" t="str">
        <f>"81,7440"</f>
        <v>81,7440</v>
      </c>
      <c r="M32" s="11" t="s">
        <v>431</v>
      </c>
    </row>
    <row r="33" spans="1:13" x14ac:dyDescent="0.2">
      <c r="A33" s="39" t="s">
        <v>433</v>
      </c>
      <c r="B33" s="39" t="s">
        <v>434</v>
      </c>
      <c r="C33" s="39" t="s">
        <v>125</v>
      </c>
      <c r="D33" s="40" t="str">
        <f>"0,6645"</f>
        <v>0,6645</v>
      </c>
      <c r="E33" s="39" t="s">
        <v>435</v>
      </c>
      <c r="F33" s="39" t="s">
        <v>436</v>
      </c>
      <c r="G33" s="41" t="s">
        <v>88</v>
      </c>
      <c r="H33" s="41" t="s">
        <v>89</v>
      </c>
      <c r="I33" s="42" t="s">
        <v>96</v>
      </c>
      <c r="J33" s="42"/>
      <c r="K33" s="43" t="str">
        <f>"90,0"</f>
        <v>90,0</v>
      </c>
      <c r="L33" s="44" t="str">
        <f>"59,8050"</f>
        <v>59,8050</v>
      </c>
      <c r="M33" s="39" t="s">
        <v>437</v>
      </c>
    </row>
    <row r="34" spans="1:13" x14ac:dyDescent="0.2">
      <c r="A34" s="17" t="s">
        <v>438</v>
      </c>
      <c r="B34" s="17" t="s">
        <v>439</v>
      </c>
      <c r="C34" s="17" t="s">
        <v>440</v>
      </c>
      <c r="D34" s="18" t="str">
        <f>"0,6730"</f>
        <v>0,6730</v>
      </c>
      <c r="E34" s="17" t="s">
        <v>441</v>
      </c>
      <c r="F34" s="17" t="s">
        <v>442</v>
      </c>
      <c r="G34" s="20" t="s">
        <v>359</v>
      </c>
      <c r="H34" s="20" t="s">
        <v>359</v>
      </c>
      <c r="I34" s="20" t="s">
        <v>359</v>
      </c>
      <c r="J34" s="20"/>
      <c r="K34" s="21" t="str">
        <f>"0.00"</f>
        <v>0.00</v>
      </c>
      <c r="L34" s="22" t="str">
        <f>"0,0000"</f>
        <v>0,0000</v>
      </c>
      <c r="M34" s="17" t="s">
        <v>443</v>
      </c>
    </row>
    <row r="36" spans="1:13" ht="15" x14ac:dyDescent="0.2">
      <c r="A36" s="83" t="s">
        <v>171</v>
      </c>
      <c r="B36" s="84"/>
      <c r="C36" s="84"/>
      <c r="D36" s="84"/>
      <c r="E36" s="84"/>
      <c r="F36" s="84"/>
      <c r="G36" s="84"/>
      <c r="H36" s="84"/>
      <c r="I36" s="84"/>
      <c r="J36" s="84"/>
    </row>
    <row r="37" spans="1:13" x14ac:dyDescent="0.2">
      <c r="A37" s="11" t="s">
        <v>445</v>
      </c>
      <c r="B37" s="11" t="s">
        <v>446</v>
      </c>
      <c r="C37" s="11" t="s">
        <v>447</v>
      </c>
      <c r="D37" s="12" t="str">
        <f>"0,6203"</f>
        <v>0,6203</v>
      </c>
      <c r="E37" s="11" t="s">
        <v>194</v>
      </c>
      <c r="F37" s="11" t="s">
        <v>240</v>
      </c>
      <c r="G37" s="13" t="s">
        <v>448</v>
      </c>
      <c r="H37" s="13" t="s">
        <v>449</v>
      </c>
      <c r="I37" s="13" t="s">
        <v>110</v>
      </c>
      <c r="J37" s="14"/>
      <c r="K37" s="15" t="str">
        <f>"125,0"</f>
        <v>125,0</v>
      </c>
      <c r="L37" s="16" t="str">
        <f>"77,5375"</f>
        <v>77,5375</v>
      </c>
      <c r="M37" s="11" t="s">
        <v>450</v>
      </c>
    </row>
    <row r="38" spans="1:13" x14ac:dyDescent="0.2">
      <c r="A38" s="39" t="s">
        <v>445</v>
      </c>
      <c r="B38" s="39" t="s">
        <v>451</v>
      </c>
      <c r="C38" s="39" t="s">
        <v>447</v>
      </c>
      <c r="D38" s="40" t="str">
        <f>"0,6203"</f>
        <v>0,6203</v>
      </c>
      <c r="E38" s="39" t="s">
        <v>194</v>
      </c>
      <c r="F38" s="39" t="s">
        <v>240</v>
      </c>
      <c r="G38" s="41" t="s">
        <v>448</v>
      </c>
      <c r="H38" s="41" t="s">
        <v>449</v>
      </c>
      <c r="I38" s="41" t="s">
        <v>110</v>
      </c>
      <c r="J38" s="42"/>
      <c r="K38" s="43" t="str">
        <f>"125,0"</f>
        <v>125,0</v>
      </c>
      <c r="L38" s="44" t="str">
        <f>"81,2593"</f>
        <v>81,2593</v>
      </c>
      <c r="M38" s="39" t="s">
        <v>450</v>
      </c>
    </row>
    <row r="39" spans="1:13" x14ac:dyDescent="0.2">
      <c r="A39" s="17" t="s">
        <v>452</v>
      </c>
      <c r="B39" s="17" t="s">
        <v>453</v>
      </c>
      <c r="C39" s="17" t="s">
        <v>454</v>
      </c>
      <c r="D39" s="18" t="str">
        <f>"0,6246"</f>
        <v>0,6246</v>
      </c>
      <c r="E39" s="17" t="s">
        <v>194</v>
      </c>
      <c r="F39" s="17" t="s">
        <v>240</v>
      </c>
      <c r="G39" s="20" t="s">
        <v>133</v>
      </c>
      <c r="H39" s="20" t="s">
        <v>111</v>
      </c>
      <c r="I39" s="20" t="s">
        <v>111</v>
      </c>
      <c r="J39" s="20"/>
      <c r="K39" s="21" t="str">
        <f>"0.00"</f>
        <v>0.00</v>
      </c>
      <c r="L39" s="22" t="str">
        <f>"0,0000"</f>
        <v>0,0000</v>
      </c>
      <c r="M39" s="17" t="s">
        <v>199</v>
      </c>
    </row>
    <row r="41" spans="1:13" ht="15" x14ac:dyDescent="0.2">
      <c r="A41" s="83" t="s">
        <v>183</v>
      </c>
      <c r="B41" s="84"/>
      <c r="C41" s="84"/>
      <c r="D41" s="84"/>
      <c r="E41" s="84"/>
      <c r="F41" s="84"/>
      <c r="G41" s="84"/>
      <c r="H41" s="84"/>
      <c r="I41" s="84"/>
      <c r="J41" s="84"/>
    </row>
    <row r="42" spans="1:13" x14ac:dyDescent="0.2">
      <c r="A42" s="11" t="s">
        <v>456</v>
      </c>
      <c r="B42" s="11" t="s">
        <v>457</v>
      </c>
      <c r="C42" s="11" t="s">
        <v>187</v>
      </c>
      <c r="D42" s="12" t="str">
        <f>"0,5861"</f>
        <v>0,5861</v>
      </c>
      <c r="E42" s="11" t="s">
        <v>458</v>
      </c>
      <c r="F42" s="11" t="s">
        <v>240</v>
      </c>
      <c r="G42" s="13" t="s">
        <v>176</v>
      </c>
      <c r="H42" s="14" t="s">
        <v>47</v>
      </c>
      <c r="I42" s="14"/>
      <c r="J42" s="14"/>
      <c r="K42" s="15" t="str">
        <f>"135,0"</f>
        <v>135,0</v>
      </c>
      <c r="L42" s="16" t="str">
        <f>"79,1235"</f>
        <v>79,1235</v>
      </c>
      <c r="M42" s="11" t="s">
        <v>459</v>
      </c>
    </row>
    <row r="43" spans="1:13" x14ac:dyDescent="0.2">
      <c r="A43" s="17" t="s">
        <v>460</v>
      </c>
      <c r="B43" s="17" t="s">
        <v>461</v>
      </c>
      <c r="C43" s="17" t="s">
        <v>462</v>
      </c>
      <c r="D43" s="18" t="str">
        <f>"0,5935"</f>
        <v>0,5935</v>
      </c>
      <c r="E43" s="17" t="s">
        <v>139</v>
      </c>
      <c r="F43" s="17" t="s">
        <v>140</v>
      </c>
      <c r="G43" s="20" t="s">
        <v>110</v>
      </c>
      <c r="H43" s="20" t="s">
        <v>110</v>
      </c>
      <c r="I43" s="20" t="s">
        <v>110</v>
      </c>
      <c r="J43" s="20"/>
      <c r="K43" s="21" t="str">
        <f>"0.00"</f>
        <v>0.00</v>
      </c>
      <c r="L43" s="22" t="str">
        <f>"0,0000"</f>
        <v>0,0000</v>
      </c>
      <c r="M43" s="17" t="s">
        <v>143</v>
      </c>
    </row>
    <row r="45" spans="1:13" ht="15" x14ac:dyDescent="0.2">
      <c r="A45" s="83" t="s">
        <v>39</v>
      </c>
      <c r="B45" s="84"/>
      <c r="C45" s="84"/>
      <c r="D45" s="84"/>
      <c r="E45" s="84"/>
      <c r="F45" s="84"/>
      <c r="G45" s="84"/>
      <c r="H45" s="84"/>
      <c r="I45" s="84"/>
      <c r="J45" s="84"/>
    </row>
    <row r="46" spans="1:13" x14ac:dyDescent="0.2">
      <c r="A46" s="11" t="s">
        <v>464</v>
      </c>
      <c r="B46" s="11" t="s">
        <v>465</v>
      </c>
      <c r="C46" s="11" t="s">
        <v>466</v>
      </c>
      <c r="D46" s="12" t="str">
        <f>"0,5404"</f>
        <v>0,5404</v>
      </c>
      <c r="E46" s="11" t="s">
        <v>429</v>
      </c>
      <c r="F46" s="11" t="s">
        <v>430</v>
      </c>
      <c r="G46" s="13" t="s">
        <v>360</v>
      </c>
      <c r="H46" s="13" t="s">
        <v>467</v>
      </c>
      <c r="I46" s="14" t="s">
        <v>101</v>
      </c>
      <c r="J46" s="14"/>
      <c r="K46" s="15" t="str">
        <f>"157,5"</f>
        <v>157,5</v>
      </c>
      <c r="L46" s="16" t="str">
        <f>"85,1130"</f>
        <v>85,1130</v>
      </c>
      <c r="M46" s="11" t="s">
        <v>431</v>
      </c>
    </row>
    <row r="47" spans="1:13" x14ac:dyDescent="0.2">
      <c r="A47" s="17" t="s">
        <v>469</v>
      </c>
      <c r="B47" s="17" t="s">
        <v>470</v>
      </c>
      <c r="C47" s="17" t="s">
        <v>471</v>
      </c>
      <c r="D47" s="18" t="str">
        <f>"0,5454"</f>
        <v>0,5454</v>
      </c>
      <c r="E47" s="17" t="s">
        <v>117</v>
      </c>
      <c r="F47" s="17" t="s">
        <v>118</v>
      </c>
      <c r="G47" s="20" t="s">
        <v>47</v>
      </c>
      <c r="H47" s="19" t="s">
        <v>47</v>
      </c>
      <c r="I47" s="20" t="s">
        <v>44</v>
      </c>
      <c r="J47" s="20"/>
      <c r="K47" s="21" t="str">
        <f>"140,0"</f>
        <v>140,0</v>
      </c>
      <c r="L47" s="22" t="str">
        <f>"81,6246"</f>
        <v>81,6246</v>
      </c>
      <c r="M47" s="17" t="s">
        <v>119</v>
      </c>
    </row>
    <row r="49" spans="1:13" ht="15" x14ac:dyDescent="0.2">
      <c r="A49" s="83" t="s">
        <v>50</v>
      </c>
      <c r="B49" s="84"/>
      <c r="C49" s="84"/>
      <c r="D49" s="84"/>
      <c r="E49" s="84"/>
      <c r="F49" s="84"/>
      <c r="G49" s="84"/>
      <c r="H49" s="84"/>
      <c r="I49" s="84"/>
      <c r="J49" s="84"/>
    </row>
    <row r="50" spans="1:13" x14ac:dyDescent="0.2">
      <c r="A50" s="11" t="s">
        <v>252</v>
      </c>
      <c r="B50" s="11" t="s">
        <v>253</v>
      </c>
      <c r="C50" s="11" t="s">
        <v>254</v>
      </c>
      <c r="D50" s="12" t="str">
        <f>"0,5266"</f>
        <v>0,5266</v>
      </c>
      <c r="E50" s="11" t="s">
        <v>117</v>
      </c>
      <c r="F50" s="11" t="s">
        <v>118</v>
      </c>
      <c r="G50" s="13" t="s">
        <v>29</v>
      </c>
      <c r="H50" s="13" t="s">
        <v>196</v>
      </c>
      <c r="I50" s="14" t="s">
        <v>218</v>
      </c>
      <c r="J50" s="14"/>
      <c r="K50" s="15" t="str">
        <f>"200,0"</f>
        <v>200,0</v>
      </c>
      <c r="L50" s="16" t="str">
        <f>"105,3200"</f>
        <v>105,3200</v>
      </c>
      <c r="M50" s="11" t="s">
        <v>126</v>
      </c>
    </row>
    <row r="51" spans="1:13" x14ac:dyDescent="0.2">
      <c r="A51" s="17" t="s">
        <v>258</v>
      </c>
      <c r="B51" s="17" t="s">
        <v>259</v>
      </c>
      <c r="C51" s="17" t="s">
        <v>260</v>
      </c>
      <c r="D51" s="18" t="str">
        <f>"0,5270"</f>
        <v>0,5270</v>
      </c>
      <c r="E51" s="17" t="s">
        <v>117</v>
      </c>
      <c r="F51" s="17" t="s">
        <v>118</v>
      </c>
      <c r="G51" s="19" t="s">
        <v>27</v>
      </c>
      <c r="H51" s="19" t="s">
        <v>101</v>
      </c>
      <c r="I51" s="20" t="s">
        <v>56</v>
      </c>
      <c r="J51" s="20"/>
      <c r="K51" s="21" t="str">
        <f>"167,5"</f>
        <v>167,5</v>
      </c>
      <c r="L51" s="22" t="str">
        <f>"98,6004"</f>
        <v>98,6004</v>
      </c>
      <c r="M51" s="17" t="s">
        <v>126</v>
      </c>
    </row>
    <row r="53" spans="1:13" ht="15" x14ac:dyDescent="0.2">
      <c r="E53" s="29" t="s">
        <v>57</v>
      </c>
    </row>
    <row r="54" spans="1:13" ht="15" x14ac:dyDescent="0.2">
      <c r="E54" s="29" t="s">
        <v>58</v>
      </c>
    </row>
    <row r="55" spans="1:13" ht="15" x14ac:dyDescent="0.2">
      <c r="E55" s="29" t="s">
        <v>59</v>
      </c>
    </row>
    <row r="56" spans="1:13" ht="15" x14ac:dyDescent="0.2">
      <c r="E56" s="29" t="s">
        <v>60</v>
      </c>
    </row>
    <row r="57" spans="1:13" ht="15" x14ac:dyDescent="0.2">
      <c r="E57" s="29" t="s">
        <v>60</v>
      </c>
    </row>
    <row r="58" spans="1:13" ht="15" x14ac:dyDescent="0.2">
      <c r="E58" s="29" t="s">
        <v>61</v>
      </c>
    </row>
    <row r="59" spans="1:13" ht="15" x14ac:dyDescent="0.2">
      <c r="E59" s="29"/>
    </row>
    <row r="61" spans="1:13" ht="18" x14ac:dyDescent="0.25">
      <c r="A61" s="30" t="s">
        <v>62</v>
      </c>
      <c r="B61" s="30"/>
    </row>
    <row r="62" spans="1:13" ht="15" x14ac:dyDescent="0.2">
      <c r="A62" s="31" t="s">
        <v>266</v>
      </c>
      <c r="B62" s="31"/>
    </row>
    <row r="63" spans="1:13" ht="14.25" x14ac:dyDescent="0.2">
      <c r="A63" s="33"/>
      <c r="B63" s="34" t="s">
        <v>472</v>
      </c>
    </row>
    <row r="64" spans="1:13" ht="15" x14ac:dyDescent="0.2">
      <c r="A64" s="35" t="s">
        <v>65</v>
      </c>
      <c r="B64" s="35" t="s">
        <v>66</v>
      </c>
      <c r="C64" s="35" t="s">
        <v>67</v>
      </c>
      <c r="D64" s="36" t="s">
        <v>366</v>
      </c>
      <c r="E64" s="35" t="s">
        <v>69</v>
      </c>
    </row>
    <row r="65" spans="1:5" x14ac:dyDescent="0.2">
      <c r="A65" s="32" t="s">
        <v>384</v>
      </c>
      <c r="B65" s="4" t="s">
        <v>282</v>
      </c>
      <c r="C65" s="4" t="s">
        <v>269</v>
      </c>
      <c r="D65" s="37">
        <v>55</v>
      </c>
      <c r="E65" s="38">
        <v>44.067813500762</v>
      </c>
    </row>
    <row r="67" spans="1:5" ht="14.25" x14ac:dyDescent="0.2">
      <c r="A67" s="33"/>
      <c r="B67" s="34" t="s">
        <v>64</v>
      </c>
    </row>
    <row r="68" spans="1:5" ht="15" x14ac:dyDescent="0.2">
      <c r="A68" s="35" t="s">
        <v>65</v>
      </c>
      <c r="B68" s="35" t="s">
        <v>66</v>
      </c>
      <c r="C68" s="35" t="s">
        <v>67</v>
      </c>
      <c r="D68" s="36" t="s">
        <v>366</v>
      </c>
      <c r="E68" s="35" t="s">
        <v>69</v>
      </c>
    </row>
    <row r="69" spans="1:5" x14ac:dyDescent="0.2">
      <c r="A69" s="32" t="s">
        <v>389</v>
      </c>
      <c r="B69" s="4" t="s">
        <v>64</v>
      </c>
      <c r="C69" s="4" t="s">
        <v>269</v>
      </c>
      <c r="D69" s="37">
        <v>72.5</v>
      </c>
      <c r="E69" s="38">
        <v>56.782001852989197</v>
      </c>
    </row>
    <row r="70" spans="1:5" x14ac:dyDescent="0.2">
      <c r="A70" s="32" t="s">
        <v>92</v>
      </c>
      <c r="B70" s="4" t="s">
        <v>64</v>
      </c>
      <c r="C70" s="4" t="s">
        <v>270</v>
      </c>
      <c r="D70" s="37">
        <v>65</v>
      </c>
      <c r="E70" s="38">
        <v>55.958499014377601</v>
      </c>
    </row>
    <row r="71" spans="1:5" x14ac:dyDescent="0.2">
      <c r="A71" s="32" t="s">
        <v>323</v>
      </c>
      <c r="B71" s="4" t="s">
        <v>64</v>
      </c>
      <c r="C71" s="4" t="s">
        <v>273</v>
      </c>
      <c r="D71" s="37">
        <v>57.5</v>
      </c>
      <c r="E71" s="38">
        <v>53.382998853921897</v>
      </c>
    </row>
    <row r="72" spans="1:5" x14ac:dyDescent="0.2">
      <c r="A72" s="32" t="s">
        <v>396</v>
      </c>
      <c r="B72" s="4" t="s">
        <v>64</v>
      </c>
      <c r="C72" s="4" t="s">
        <v>271</v>
      </c>
      <c r="D72" s="37">
        <v>40</v>
      </c>
      <c r="E72" s="38">
        <v>30.868000984191902</v>
      </c>
    </row>
    <row r="75" spans="1:5" ht="15" x14ac:dyDescent="0.2">
      <c r="A75" s="31" t="s">
        <v>63</v>
      </c>
      <c r="B75" s="31"/>
    </row>
    <row r="76" spans="1:5" ht="14.25" x14ac:dyDescent="0.2">
      <c r="A76" s="33"/>
      <c r="B76" s="34" t="s">
        <v>276</v>
      </c>
    </row>
    <row r="77" spans="1:5" ht="15" x14ac:dyDescent="0.2">
      <c r="A77" s="35" t="s">
        <v>65</v>
      </c>
      <c r="B77" s="35" t="s">
        <v>66</v>
      </c>
      <c r="C77" s="35" t="s">
        <v>67</v>
      </c>
      <c r="D77" s="36" t="s">
        <v>366</v>
      </c>
      <c r="E77" s="35" t="s">
        <v>69</v>
      </c>
    </row>
    <row r="78" spans="1:5" x14ac:dyDescent="0.2">
      <c r="A78" s="32" t="s">
        <v>152</v>
      </c>
      <c r="B78" s="4" t="s">
        <v>278</v>
      </c>
      <c r="C78" s="4" t="s">
        <v>269</v>
      </c>
      <c r="D78" s="37">
        <v>100</v>
      </c>
      <c r="E78" s="38">
        <v>77.772197604179397</v>
      </c>
    </row>
    <row r="79" spans="1:5" x14ac:dyDescent="0.2">
      <c r="A79" s="32" t="s">
        <v>415</v>
      </c>
      <c r="B79" s="4" t="s">
        <v>277</v>
      </c>
      <c r="C79" s="4" t="s">
        <v>473</v>
      </c>
      <c r="D79" s="37">
        <v>60</v>
      </c>
      <c r="E79" s="38">
        <v>77.261222505569407</v>
      </c>
    </row>
    <row r="80" spans="1:5" x14ac:dyDescent="0.2">
      <c r="A80" s="32" t="s">
        <v>409</v>
      </c>
      <c r="B80" s="4" t="s">
        <v>268</v>
      </c>
      <c r="C80" s="4" t="s">
        <v>473</v>
      </c>
      <c r="D80" s="37">
        <v>53.5</v>
      </c>
      <c r="E80" s="38">
        <v>69.601950997710205</v>
      </c>
    </row>
    <row r="81" spans="1:5" x14ac:dyDescent="0.2">
      <c r="A81" s="32" t="s">
        <v>401</v>
      </c>
      <c r="B81" s="4" t="s">
        <v>268</v>
      </c>
      <c r="C81" s="4" t="s">
        <v>474</v>
      </c>
      <c r="D81" s="37">
        <v>32.5</v>
      </c>
      <c r="E81" s="38">
        <v>52.499168041348497</v>
      </c>
    </row>
    <row r="83" spans="1:5" ht="14.25" x14ac:dyDescent="0.2">
      <c r="A83" s="33"/>
      <c r="B83" s="34" t="s">
        <v>64</v>
      </c>
    </row>
    <row r="84" spans="1:5" ht="15" x14ac:dyDescent="0.2">
      <c r="A84" s="35" t="s">
        <v>65</v>
      </c>
      <c r="B84" s="35" t="s">
        <v>66</v>
      </c>
      <c r="C84" s="35" t="s">
        <v>67</v>
      </c>
      <c r="D84" s="36" t="s">
        <v>366</v>
      </c>
      <c r="E84" s="35" t="s">
        <v>69</v>
      </c>
    </row>
    <row r="85" spans="1:5" x14ac:dyDescent="0.2">
      <c r="A85" s="32" t="s">
        <v>251</v>
      </c>
      <c r="B85" s="4" t="s">
        <v>64</v>
      </c>
      <c r="C85" s="4" t="s">
        <v>71</v>
      </c>
      <c r="D85" s="37">
        <v>200</v>
      </c>
      <c r="E85" s="38">
        <v>105.320000648499</v>
      </c>
    </row>
    <row r="86" spans="1:5" x14ac:dyDescent="0.2">
      <c r="A86" s="32" t="s">
        <v>419</v>
      </c>
      <c r="B86" s="4" t="s">
        <v>64</v>
      </c>
      <c r="C86" s="4" t="s">
        <v>270</v>
      </c>
      <c r="D86" s="37">
        <v>105</v>
      </c>
      <c r="E86" s="38">
        <v>87.790498137474103</v>
      </c>
    </row>
    <row r="87" spans="1:5" x14ac:dyDescent="0.2">
      <c r="A87" s="32" t="s">
        <v>463</v>
      </c>
      <c r="B87" s="4" t="s">
        <v>64</v>
      </c>
      <c r="C87" s="4" t="s">
        <v>72</v>
      </c>
      <c r="D87" s="37">
        <v>157.5</v>
      </c>
      <c r="E87" s="38">
        <v>85.113004446029706</v>
      </c>
    </row>
    <row r="88" spans="1:5" x14ac:dyDescent="0.2">
      <c r="A88" s="32" t="s">
        <v>425</v>
      </c>
      <c r="B88" s="4" t="s">
        <v>64</v>
      </c>
      <c r="C88" s="4" t="s">
        <v>271</v>
      </c>
      <c r="D88" s="37">
        <v>120</v>
      </c>
      <c r="E88" s="38">
        <v>81.744003295898395</v>
      </c>
    </row>
    <row r="89" spans="1:5" x14ac:dyDescent="0.2">
      <c r="A89" s="32" t="s">
        <v>455</v>
      </c>
      <c r="B89" s="4" t="s">
        <v>64</v>
      </c>
      <c r="C89" s="4" t="s">
        <v>284</v>
      </c>
      <c r="D89" s="37">
        <v>135</v>
      </c>
      <c r="E89" s="38">
        <v>79.123497605323806</v>
      </c>
    </row>
    <row r="90" spans="1:5" x14ac:dyDescent="0.2">
      <c r="A90" s="32" t="s">
        <v>444</v>
      </c>
      <c r="B90" s="4" t="s">
        <v>64</v>
      </c>
      <c r="C90" s="4" t="s">
        <v>280</v>
      </c>
      <c r="D90" s="37">
        <v>125</v>
      </c>
      <c r="E90" s="38">
        <v>77.537499368190794</v>
      </c>
    </row>
    <row r="91" spans="1:5" x14ac:dyDescent="0.2">
      <c r="A91" s="32" t="s">
        <v>432</v>
      </c>
      <c r="B91" s="4" t="s">
        <v>64</v>
      </c>
      <c r="C91" s="4" t="s">
        <v>271</v>
      </c>
      <c r="D91" s="37">
        <v>90</v>
      </c>
      <c r="E91" s="38">
        <v>59.804999828338602</v>
      </c>
    </row>
    <row r="93" spans="1:5" ht="14.25" x14ac:dyDescent="0.2">
      <c r="A93" s="33"/>
      <c r="B93" s="34" t="s">
        <v>73</v>
      </c>
    </row>
    <row r="94" spans="1:5" ht="15" x14ac:dyDescent="0.2">
      <c r="A94" s="35" t="s">
        <v>65</v>
      </c>
      <c r="B94" s="35" t="s">
        <v>66</v>
      </c>
      <c r="C94" s="35" t="s">
        <v>67</v>
      </c>
      <c r="D94" s="36" t="s">
        <v>366</v>
      </c>
      <c r="E94" s="35" t="s">
        <v>69</v>
      </c>
    </row>
    <row r="95" spans="1:5" x14ac:dyDescent="0.2">
      <c r="A95" s="32" t="s">
        <v>257</v>
      </c>
      <c r="B95" s="4" t="s">
        <v>275</v>
      </c>
      <c r="C95" s="4" t="s">
        <v>71</v>
      </c>
      <c r="D95" s="37">
        <v>167.5</v>
      </c>
      <c r="E95" s="38">
        <v>98.600384373515794</v>
      </c>
    </row>
    <row r="96" spans="1:5" x14ac:dyDescent="0.2">
      <c r="A96" s="32" t="s">
        <v>468</v>
      </c>
      <c r="B96" s="4" t="s">
        <v>275</v>
      </c>
      <c r="C96" s="4" t="s">
        <v>72</v>
      </c>
      <c r="D96" s="37">
        <v>140</v>
      </c>
      <c r="E96" s="38">
        <v>81.624567511081693</v>
      </c>
    </row>
    <row r="97" spans="1:5" x14ac:dyDescent="0.2">
      <c r="A97" s="32" t="s">
        <v>444</v>
      </c>
      <c r="B97" s="4" t="s">
        <v>275</v>
      </c>
      <c r="C97" s="4" t="s">
        <v>280</v>
      </c>
      <c r="D97" s="37">
        <v>125</v>
      </c>
      <c r="E97" s="38">
        <v>81.259299337863894</v>
      </c>
    </row>
  </sheetData>
  <mergeCells count="24">
    <mergeCell ref="A49:J49"/>
    <mergeCell ref="A8:J8"/>
    <mergeCell ref="A11:J11"/>
    <mergeCell ref="A15:J15"/>
    <mergeCell ref="A18:J18"/>
    <mergeCell ref="A21:J21"/>
    <mergeCell ref="A25:J25"/>
    <mergeCell ref="A28:J28"/>
    <mergeCell ref="A31:J31"/>
    <mergeCell ref="A36:J36"/>
    <mergeCell ref="A41:J41"/>
    <mergeCell ref="A45:J4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12.42578125" style="4" bestFit="1" customWidth="1"/>
    <col min="14" max="16384" width="9.140625" style="3"/>
  </cols>
  <sheetData>
    <row r="1" spans="1:13" s="2" customFormat="1" ht="29.1" customHeight="1" x14ac:dyDescent="0.2">
      <c r="A1" s="82" t="s">
        <v>375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183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377</v>
      </c>
      <c r="B6" s="23" t="s">
        <v>378</v>
      </c>
      <c r="C6" s="23" t="s">
        <v>379</v>
      </c>
      <c r="D6" s="24" t="str">
        <f>"0,5893"</f>
        <v>0,5893</v>
      </c>
      <c r="E6" s="23" t="s">
        <v>380</v>
      </c>
      <c r="F6" s="23" t="s">
        <v>381</v>
      </c>
      <c r="G6" s="25" t="s">
        <v>46</v>
      </c>
      <c r="H6" s="26" t="s">
        <v>55</v>
      </c>
      <c r="I6" s="26" t="s">
        <v>55</v>
      </c>
      <c r="J6" s="26"/>
      <c r="K6" s="27" t="str">
        <f>"190,0"</f>
        <v>190,0</v>
      </c>
      <c r="L6" s="28" t="str">
        <f>"190,3439"</f>
        <v>190,3439</v>
      </c>
      <c r="M6" s="23" t="s">
        <v>374</v>
      </c>
    </row>
    <row r="8" spans="1:13" ht="15" x14ac:dyDescent="0.2">
      <c r="E8" s="29" t="s">
        <v>57</v>
      </c>
    </row>
    <row r="9" spans="1:13" ht="15" x14ac:dyDescent="0.2">
      <c r="E9" s="29" t="s">
        <v>58</v>
      </c>
    </row>
    <row r="10" spans="1:13" ht="15" x14ac:dyDescent="0.2">
      <c r="E10" s="29" t="s">
        <v>59</v>
      </c>
    </row>
    <row r="11" spans="1:13" ht="15" x14ac:dyDescent="0.2">
      <c r="E11" s="29" t="s">
        <v>60</v>
      </c>
    </row>
    <row r="12" spans="1:13" ht="15" x14ac:dyDescent="0.2">
      <c r="E12" s="29" t="s">
        <v>60</v>
      </c>
    </row>
    <row r="13" spans="1:13" ht="15" x14ac:dyDescent="0.2">
      <c r="E13" s="29" t="s">
        <v>61</v>
      </c>
    </row>
    <row r="14" spans="1:13" ht="15" x14ac:dyDescent="0.2">
      <c r="E14" s="29"/>
    </row>
    <row r="16" spans="1:13" ht="18" x14ac:dyDescent="0.25">
      <c r="A16" s="30" t="s">
        <v>62</v>
      </c>
      <c r="B16" s="30"/>
    </row>
    <row r="17" spans="1:5" ht="15" x14ac:dyDescent="0.2">
      <c r="A17" s="31" t="s">
        <v>63</v>
      </c>
      <c r="B17" s="31"/>
    </row>
    <row r="18" spans="1:5" ht="14.25" x14ac:dyDescent="0.2">
      <c r="A18" s="33"/>
      <c r="B18" s="34" t="s">
        <v>73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69</v>
      </c>
    </row>
    <row r="20" spans="1:5" x14ac:dyDescent="0.2">
      <c r="A20" s="32" t="s">
        <v>376</v>
      </c>
      <c r="B20" s="4" t="s">
        <v>382</v>
      </c>
      <c r="C20" s="4" t="s">
        <v>284</v>
      </c>
      <c r="D20" s="37">
        <v>190</v>
      </c>
      <c r="E20" s="38">
        <v>190.343892514706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6.5703125" style="9" bestFit="1" customWidth="1"/>
    <col min="13" max="13" width="12.42578125" style="4" bestFit="1" customWidth="1"/>
    <col min="14" max="16384" width="9.140625" style="3"/>
  </cols>
  <sheetData>
    <row r="1" spans="1:13" s="2" customFormat="1" ht="29.1" customHeight="1" x14ac:dyDescent="0.2">
      <c r="A1" s="82" t="s">
        <v>369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50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370</v>
      </c>
      <c r="B6" s="23" t="s">
        <v>371</v>
      </c>
      <c r="C6" s="23" t="s">
        <v>372</v>
      </c>
      <c r="D6" s="24" t="str">
        <f>"0,5221"</f>
        <v>0,5221</v>
      </c>
      <c r="E6" s="23" t="s">
        <v>194</v>
      </c>
      <c r="F6" s="23" t="s">
        <v>373</v>
      </c>
      <c r="G6" s="26" t="s">
        <v>256</v>
      </c>
      <c r="H6" s="26" t="s">
        <v>256</v>
      </c>
      <c r="I6" s="26" t="s">
        <v>256</v>
      </c>
      <c r="J6" s="26"/>
      <c r="K6" s="27" t="str">
        <f>"0.00"</f>
        <v>0.00</v>
      </c>
      <c r="L6" s="28" t="str">
        <f>"0,0000"</f>
        <v>0,0000</v>
      </c>
      <c r="M6" s="23" t="s">
        <v>374</v>
      </c>
    </row>
    <row r="8" spans="1:13" ht="15" x14ac:dyDescent="0.2">
      <c r="E8" s="29" t="s">
        <v>57</v>
      </c>
    </row>
    <row r="9" spans="1:13" ht="15" x14ac:dyDescent="0.2">
      <c r="E9" s="29" t="s">
        <v>58</v>
      </c>
    </row>
    <row r="10" spans="1:13" ht="15" x14ac:dyDescent="0.2">
      <c r="E10" s="29" t="s">
        <v>59</v>
      </c>
    </row>
    <row r="11" spans="1:13" ht="15" x14ac:dyDescent="0.2">
      <c r="E11" s="29" t="s">
        <v>60</v>
      </c>
    </row>
    <row r="12" spans="1:13" ht="15" x14ac:dyDescent="0.2">
      <c r="E12" s="29" t="s">
        <v>60</v>
      </c>
    </row>
    <row r="13" spans="1:13" ht="15" x14ac:dyDescent="0.2">
      <c r="E13" s="29" t="s">
        <v>61</v>
      </c>
    </row>
    <row r="14" spans="1:13" ht="15" x14ac:dyDescent="0.2">
      <c r="E14" s="29"/>
    </row>
    <row r="16" spans="1:13" ht="18" x14ac:dyDescent="0.25">
      <c r="A16" s="30" t="s">
        <v>62</v>
      </c>
      <c r="B16" s="30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N21" sqref="N21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26.42578125" style="4" bestFit="1" customWidth="1"/>
    <col min="14" max="16384" width="9.140625" style="3"/>
  </cols>
  <sheetData>
    <row r="1" spans="1:13" s="2" customFormat="1" ht="29.1" customHeight="1" x14ac:dyDescent="0.2">
      <c r="A1" s="82" t="s">
        <v>322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76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324</v>
      </c>
      <c r="B6" s="23" t="s">
        <v>325</v>
      </c>
      <c r="C6" s="23" t="s">
        <v>326</v>
      </c>
      <c r="D6" s="24" t="str">
        <f>"0,9284"</f>
        <v>0,9284</v>
      </c>
      <c r="E6" s="23" t="s">
        <v>222</v>
      </c>
      <c r="F6" s="23" t="s">
        <v>195</v>
      </c>
      <c r="G6" s="25" t="s">
        <v>83</v>
      </c>
      <c r="H6" s="25" t="s">
        <v>142</v>
      </c>
      <c r="I6" s="26" t="s">
        <v>98</v>
      </c>
      <c r="J6" s="26"/>
      <c r="K6" s="27" t="str">
        <f>"52,5"</f>
        <v>52,5</v>
      </c>
      <c r="L6" s="28" t="str">
        <f>"48,7410"</f>
        <v>48,7410</v>
      </c>
      <c r="M6" s="23" t="s">
        <v>199</v>
      </c>
    </row>
    <row r="8" spans="1:13" ht="15" x14ac:dyDescent="0.2">
      <c r="A8" s="83" t="s">
        <v>91</v>
      </c>
      <c r="B8" s="84"/>
      <c r="C8" s="84"/>
      <c r="D8" s="84"/>
      <c r="E8" s="84"/>
      <c r="F8" s="84"/>
      <c r="G8" s="84"/>
      <c r="H8" s="84"/>
      <c r="I8" s="84"/>
      <c r="J8" s="84"/>
    </row>
    <row r="9" spans="1:13" x14ac:dyDescent="0.2">
      <c r="A9" s="23" t="s">
        <v>328</v>
      </c>
      <c r="B9" s="23" t="s">
        <v>329</v>
      </c>
      <c r="C9" s="23" t="s">
        <v>330</v>
      </c>
      <c r="D9" s="24" t="str">
        <f>"0,8647"</f>
        <v>0,8647</v>
      </c>
      <c r="E9" s="23" t="s">
        <v>222</v>
      </c>
      <c r="F9" s="23" t="s">
        <v>195</v>
      </c>
      <c r="G9" s="25" t="s">
        <v>297</v>
      </c>
      <c r="H9" s="26" t="s">
        <v>291</v>
      </c>
      <c r="I9" s="25" t="s">
        <v>291</v>
      </c>
      <c r="J9" s="26"/>
      <c r="K9" s="27" t="str">
        <f>"62,5"</f>
        <v>62,5</v>
      </c>
      <c r="L9" s="28" t="str">
        <f>"54,0406"</f>
        <v>54,0406</v>
      </c>
      <c r="M9" s="23" t="s">
        <v>224</v>
      </c>
    </row>
    <row r="11" spans="1:13" ht="15" x14ac:dyDescent="0.2">
      <c r="A11" s="83" t="s">
        <v>112</v>
      </c>
      <c r="B11" s="84"/>
      <c r="C11" s="84"/>
      <c r="D11" s="84"/>
      <c r="E11" s="84"/>
      <c r="F11" s="84"/>
      <c r="G11" s="84"/>
      <c r="H11" s="84"/>
      <c r="I11" s="84"/>
      <c r="J11" s="84"/>
    </row>
    <row r="12" spans="1:13" x14ac:dyDescent="0.2">
      <c r="A12" s="23" t="s">
        <v>332</v>
      </c>
      <c r="B12" s="23" t="s">
        <v>333</v>
      </c>
      <c r="C12" s="23" t="s">
        <v>334</v>
      </c>
      <c r="D12" s="24" t="str">
        <f>"0,7317"</f>
        <v>0,7317</v>
      </c>
      <c r="E12" s="23" t="s">
        <v>222</v>
      </c>
      <c r="F12" s="23" t="s">
        <v>195</v>
      </c>
      <c r="G12" s="25" t="s">
        <v>99</v>
      </c>
      <c r="H12" s="25" t="s">
        <v>100</v>
      </c>
      <c r="I12" s="25" t="s">
        <v>292</v>
      </c>
      <c r="J12" s="26"/>
      <c r="K12" s="27" t="str">
        <f>"67,5"</f>
        <v>67,5</v>
      </c>
      <c r="L12" s="28" t="str">
        <f>"49,3898"</f>
        <v>49,3898</v>
      </c>
      <c r="M12" s="23" t="s">
        <v>335</v>
      </c>
    </row>
    <row r="14" spans="1:13" ht="15" x14ac:dyDescent="0.2">
      <c r="A14" s="83" t="s">
        <v>121</v>
      </c>
      <c r="B14" s="84"/>
      <c r="C14" s="84"/>
      <c r="D14" s="84"/>
      <c r="E14" s="84"/>
      <c r="F14" s="84"/>
      <c r="G14" s="84"/>
      <c r="H14" s="84"/>
      <c r="I14" s="84"/>
      <c r="J14" s="84"/>
    </row>
    <row r="15" spans="1:13" x14ac:dyDescent="0.2">
      <c r="A15" s="11" t="s">
        <v>337</v>
      </c>
      <c r="B15" s="11" t="s">
        <v>338</v>
      </c>
      <c r="C15" s="11" t="s">
        <v>339</v>
      </c>
      <c r="D15" s="12" t="str">
        <f>"0,6694"</f>
        <v>0,6694</v>
      </c>
      <c r="E15" s="11" t="s">
        <v>222</v>
      </c>
      <c r="F15" s="11" t="s">
        <v>195</v>
      </c>
      <c r="G15" s="13" t="s">
        <v>96</v>
      </c>
      <c r="H15" s="14"/>
      <c r="I15" s="14"/>
      <c r="J15" s="14"/>
      <c r="K15" s="15" t="str">
        <f>"100,0"</f>
        <v>100,0</v>
      </c>
      <c r="L15" s="16" t="str">
        <f>"66,9400"</f>
        <v>66,9400</v>
      </c>
      <c r="M15" s="11" t="s">
        <v>224</v>
      </c>
    </row>
    <row r="16" spans="1:13" x14ac:dyDescent="0.2">
      <c r="A16" s="17" t="s">
        <v>341</v>
      </c>
      <c r="B16" s="17" t="s">
        <v>342</v>
      </c>
      <c r="C16" s="17" t="s">
        <v>343</v>
      </c>
      <c r="D16" s="18" t="str">
        <f>"0,6673"</f>
        <v>0,6673</v>
      </c>
      <c r="E16" s="17" t="s">
        <v>222</v>
      </c>
      <c r="F16" s="17" t="s">
        <v>195</v>
      </c>
      <c r="G16" s="19" t="s">
        <v>89</v>
      </c>
      <c r="H16" s="19" t="s">
        <v>107</v>
      </c>
      <c r="I16" s="20" t="s">
        <v>96</v>
      </c>
      <c r="J16" s="20"/>
      <c r="K16" s="21" t="str">
        <f>"95,0"</f>
        <v>95,0</v>
      </c>
      <c r="L16" s="22" t="str">
        <f>"63,3935"</f>
        <v>63,3935</v>
      </c>
      <c r="M16" s="17" t="s">
        <v>335</v>
      </c>
    </row>
    <row r="18" spans="1:14" ht="15" x14ac:dyDescent="0.2">
      <c r="A18" s="83" t="s">
        <v>171</v>
      </c>
      <c r="B18" s="84"/>
      <c r="C18" s="84"/>
      <c r="D18" s="84"/>
      <c r="E18" s="84"/>
      <c r="F18" s="84"/>
      <c r="G18" s="84"/>
      <c r="H18" s="84"/>
      <c r="I18" s="84"/>
      <c r="J18" s="84"/>
    </row>
    <row r="19" spans="1:14" x14ac:dyDescent="0.2">
      <c r="A19" s="11" t="s">
        <v>345</v>
      </c>
      <c r="B19" s="11" t="s">
        <v>346</v>
      </c>
      <c r="C19" s="11" t="s">
        <v>347</v>
      </c>
      <c r="D19" s="12" t="str">
        <f>"0,6193"</f>
        <v>0,6193</v>
      </c>
      <c r="E19" s="11" t="s">
        <v>222</v>
      </c>
      <c r="F19" s="11" t="s">
        <v>195</v>
      </c>
      <c r="G19" s="13" t="s">
        <v>110</v>
      </c>
      <c r="H19" s="14" t="s">
        <v>111</v>
      </c>
      <c r="I19" s="14"/>
      <c r="J19" s="14"/>
      <c r="K19" s="15" t="str">
        <f>"125,0"</f>
        <v>125,0</v>
      </c>
      <c r="L19" s="16" t="str">
        <f>"77,4125"</f>
        <v>77,4125</v>
      </c>
      <c r="M19" s="11" t="s">
        <v>335</v>
      </c>
    </row>
    <row r="20" spans="1:14" x14ac:dyDescent="0.2">
      <c r="A20" s="52" t="s">
        <v>349</v>
      </c>
      <c r="B20" s="52" t="s">
        <v>350</v>
      </c>
      <c r="C20" s="52" t="s">
        <v>351</v>
      </c>
      <c r="D20" s="53" t="str">
        <f>"0,6577"</f>
        <v>0,6577</v>
      </c>
      <c r="E20" s="52" t="s">
        <v>22</v>
      </c>
      <c r="F20" s="52" t="s">
        <v>240</v>
      </c>
      <c r="G20" s="54" t="s">
        <v>106</v>
      </c>
      <c r="H20" s="54" t="s">
        <v>89</v>
      </c>
      <c r="I20" s="55" t="s">
        <v>352</v>
      </c>
      <c r="J20" s="55"/>
      <c r="K20" s="56" t="str">
        <f>"90,0"</f>
        <v>90,0</v>
      </c>
      <c r="L20" s="57" t="str">
        <f>"59,1930"</f>
        <v>59,1930</v>
      </c>
      <c r="M20" s="52" t="s">
        <v>353</v>
      </c>
      <c r="N20" s="3" t="s">
        <v>655</v>
      </c>
    </row>
    <row r="22" spans="1:14" ht="15" x14ac:dyDescent="0.2">
      <c r="A22" s="83" t="s">
        <v>183</v>
      </c>
      <c r="B22" s="84"/>
      <c r="C22" s="84"/>
      <c r="D22" s="84"/>
      <c r="E22" s="84"/>
      <c r="F22" s="84"/>
      <c r="G22" s="84"/>
      <c r="H22" s="84"/>
      <c r="I22" s="84"/>
      <c r="J22" s="84"/>
    </row>
    <row r="23" spans="1:14" x14ac:dyDescent="0.2">
      <c r="A23" s="23" t="s">
        <v>355</v>
      </c>
      <c r="B23" s="23" t="s">
        <v>356</v>
      </c>
      <c r="C23" s="23" t="s">
        <v>357</v>
      </c>
      <c r="D23" s="24" t="str">
        <f>"0,5869"</f>
        <v>0,5869</v>
      </c>
      <c r="E23" s="23" t="s">
        <v>358</v>
      </c>
      <c r="F23" s="23" t="s">
        <v>240</v>
      </c>
      <c r="G23" s="25" t="s">
        <v>359</v>
      </c>
      <c r="H23" s="25" t="s">
        <v>318</v>
      </c>
      <c r="I23" s="26" t="s">
        <v>360</v>
      </c>
      <c r="J23" s="26"/>
      <c r="K23" s="27" t="str">
        <f>"142,5"</f>
        <v>142,5</v>
      </c>
      <c r="L23" s="28" t="str">
        <f>"83,6332"</f>
        <v>83,6332</v>
      </c>
      <c r="M23" s="23" t="s">
        <v>361</v>
      </c>
    </row>
    <row r="25" spans="1:14" ht="15" x14ac:dyDescent="0.2">
      <c r="A25" s="83" t="s">
        <v>17</v>
      </c>
      <c r="B25" s="84"/>
      <c r="C25" s="84"/>
      <c r="D25" s="84"/>
      <c r="E25" s="84"/>
      <c r="F25" s="84"/>
      <c r="G25" s="84"/>
      <c r="H25" s="84"/>
      <c r="I25" s="84"/>
      <c r="J25" s="84"/>
    </row>
    <row r="26" spans="1:14" x14ac:dyDescent="0.2">
      <c r="A26" s="23" t="s">
        <v>363</v>
      </c>
      <c r="B26" s="23" t="s">
        <v>364</v>
      </c>
      <c r="C26" s="23" t="s">
        <v>365</v>
      </c>
      <c r="D26" s="24" t="str">
        <f>"0,5639"</f>
        <v>0,5639</v>
      </c>
      <c r="E26" s="23" t="s">
        <v>222</v>
      </c>
      <c r="F26" s="23" t="s">
        <v>195</v>
      </c>
      <c r="G26" s="25" t="s">
        <v>44</v>
      </c>
      <c r="H26" s="25" t="s">
        <v>156</v>
      </c>
      <c r="I26" s="25" t="s">
        <v>27</v>
      </c>
      <c r="J26" s="26"/>
      <c r="K26" s="27" t="str">
        <f>"160,0"</f>
        <v>160,0</v>
      </c>
      <c r="L26" s="28" t="str">
        <f>"90,2240"</f>
        <v>90,2240</v>
      </c>
      <c r="M26" s="23" t="s">
        <v>335</v>
      </c>
    </row>
    <row r="28" spans="1:14" ht="15" x14ac:dyDescent="0.2">
      <c r="E28" s="29" t="s">
        <v>57</v>
      </c>
    </row>
    <row r="29" spans="1:14" ht="15" x14ac:dyDescent="0.2">
      <c r="E29" s="29" t="s">
        <v>58</v>
      </c>
    </row>
    <row r="30" spans="1:14" ht="15" x14ac:dyDescent="0.2">
      <c r="E30" s="29" t="s">
        <v>59</v>
      </c>
    </row>
    <row r="31" spans="1:14" ht="15" x14ac:dyDescent="0.2">
      <c r="E31" s="29" t="s">
        <v>60</v>
      </c>
    </row>
    <row r="32" spans="1:14" ht="15" x14ac:dyDescent="0.2">
      <c r="E32" s="29" t="s">
        <v>60</v>
      </c>
    </row>
    <row r="33" spans="1:5" ht="15" x14ac:dyDescent="0.2">
      <c r="E33" s="29" t="s">
        <v>61</v>
      </c>
    </row>
    <row r="34" spans="1:5" ht="15" x14ac:dyDescent="0.2">
      <c r="E34" s="29"/>
    </row>
    <row r="36" spans="1:5" ht="18" x14ac:dyDescent="0.25">
      <c r="A36" s="30" t="s">
        <v>62</v>
      </c>
      <c r="B36" s="30"/>
    </row>
    <row r="37" spans="1:5" ht="15" x14ac:dyDescent="0.2">
      <c r="A37" s="31" t="s">
        <v>266</v>
      </c>
      <c r="B37" s="31"/>
    </row>
    <row r="38" spans="1:5" ht="14.25" x14ac:dyDescent="0.2">
      <c r="A38" s="33"/>
      <c r="B38" s="34" t="s">
        <v>64</v>
      </c>
    </row>
    <row r="39" spans="1:5" ht="15" x14ac:dyDescent="0.2">
      <c r="A39" s="35" t="s">
        <v>65</v>
      </c>
      <c r="B39" s="35" t="s">
        <v>66</v>
      </c>
      <c r="C39" s="35" t="s">
        <v>67</v>
      </c>
      <c r="D39" s="36" t="s">
        <v>366</v>
      </c>
      <c r="E39" s="35" t="s">
        <v>69</v>
      </c>
    </row>
    <row r="40" spans="1:5" x14ac:dyDescent="0.2">
      <c r="A40" s="32" t="s">
        <v>327</v>
      </c>
      <c r="B40" s="4" t="s">
        <v>64</v>
      </c>
      <c r="C40" s="4" t="s">
        <v>270</v>
      </c>
      <c r="D40" s="37">
        <v>62.5</v>
      </c>
      <c r="E40" s="38">
        <v>54.040625691413901</v>
      </c>
    </row>
    <row r="41" spans="1:5" x14ac:dyDescent="0.2">
      <c r="A41" s="32" t="s">
        <v>331</v>
      </c>
      <c r="B41" s="4" t="s">
        <v>64</v>
      </c>
      <c r="C41" s="4" t="s">
        <v>269</v>
      </c>
      <c r="D41" s="37">
        <v>67.5</v>
      </c>
      <c r="E41" s="38">
        <v>49.389750212430997</v>
      </c>
    </row>
    <row r="42" spans="1:5" x14ac:dyDescent="0.2">
      <c r="A42" s="32" t="s">
        <v>323</v>
      </c>
      <c r="B42" s="4" t="s">
        <v>64</v>
      </c>
      <c r="C42" s="4" t="s">
        <v>273</v>
      </c>
      <c r="D42" s="37">
        <v>52.5</v>
      </c>
      <c r="E42" s="38">
        <v>48.740998953580899</v>
      </c>
    </row>
    <row r="45" spans="1:5" ht="15" x14ac:dyDescent="0.2">
      <c r="A45" s="31" t="s">
        <v>63</v>
      </c>
      <c r="B45" s="31"/>
    </row>
    <row r="46" spans="1:5" ht="14.25" x14ac:dyDescent="0.2">
      <c r="A46" s="33"/>
      <c r="B46" s="34" t="s">
        <v>64</v>
      </c>
    </row>
    <row r="47" spans="1:5" ht="15" x14ac:dyDescent="0.2">
      <c r="A47" s="35" t="s">
        <v>65</v>
      </c>
      <c r="B47" s="35" t="s">
        <v>66</v>
      </c>
      <c r="C47" s="35" t="s">
        <v>67</v>
      </c>
      <c r="D47" s="36" t="s">
        <v>366</v>
      </c>
      <c r="E47" s="35" t="s">
        <v>69</v>
      </c>
    </row>
    <row r="48" spans="1:5" x14ac:dyDescent="0.2">
      <c r="A48" s="32" t="s">
        <v>362</v>
      </c>
      <c r="B48" s="4" t="s">
        <v>64</v>
      </c>
      <c r="C48" s="4" t="s">
        <v>70</v>
      </c>
      <c r="D48" s="37">
        <v>160</v>
      </c>
      <c r="E48" s="38">
        <v>90.2239990234375</v>
      </c>
    </row>
    <row r="49" spans="1:5" x14ac:dyDescent="0.2">
      <c r="A49" s="32" t="s">
        <v>354</v>
      </c>
      <c r="B49" s="4" t="s">
        <v>64</v>
      </c>
      <c r="C49" s="4" t="s">
        <v>284</v>
      </c>
      <c r="D49" s="37">
        <v>142.5</v>
      </c>
      <c r="E49" s="38">
        <v>83.633249402046204</v>
      </c>
    </row>
    <row r="50" spans="1:5" x14ac:dyDescent="0.2">
      <c r="A50" s="32" t="s">
        <v>344</v>
      </c>
      <c r="B50" s="4" t="s">
        <v>64</v>
      </c>
      <c r="C50" s="4" t="s">
        <v>280</v>
      </c>
      <c r="D50" s="37">
        <v>125</v>
      </c>
      <c r="E50" s="38">
        <v>77.412500977516203</v>
      </c>
    </row>
    <row r="51" spans="1:5" x14ac:dyDescent="0.2">
      <c r="A51" s="32" t="s">
        <v>336</v>
      </c>
      <c r="B51" s="4" t="s">
        <v>64</v>
      </c>
      <c r="C51" s="4" t="s">
        <v>271</v>
      </c>
      <c r="D51" s="37">
        <v>100</v>
      </c>
      <c r="E51" s="38">
        <v>66.939997673034696</v>
      </c>
    </row>
    <row r="52" spans="1:5" x14ac:dyDescent="0.2">
      <c r="A52" s="32" t="s">
        <v>340</v>
      </c>
      <c r="B52" s="4" t="s">
        <v>64</v>
      </c>
      <c r="C52" s="4" t="s">
        <v>271</v>
      </c>
      <c r="D52" s="37">
        <v>95</v>
      </c>
      <c r="E52" s="38">
        <v>63.393498659133897</v>
      </c>
    </row>
    <row r="54" spans="1:5" ht="14.25" x14ac:dyDescent="0.2">
      <c r="A54" s="33"/>
      <c r="B54" s="34" t="s">
        <v>73</v>
      </c>
    </row>
    <row r="55" spans="1:5" ht="15" x14ac:dyDescent="0.2">
      <c r="A55" s="35" t="s">
        <v>65</v>
      </c>
      <c r="B55" s="35" t="s">
        <v>66</v>
      </c>
      <c r="C55" s="35" t="s">
        <v>67</v>
      </c>
      <c r="D55" s="36" t="s">
        <v>366</v>
      </c>
      <c r="E55" s="35" t="s">
        <v>69</v>
      </c>
    </row>
    <row r="56" spans="1:5" x14ac:dyDescent="0.2">
      <c r="A56" s="32" t="s">
        <v>348</v>
      </c>
      <c r="B56" s="4" t="s">
        <v>367</v>
      </c>
      <c r="C56" s="4" t="s">
        <v>280</v>
      </c>
      <c r="D56" s="37">
        <v>90</v>
      </c>
      <c r="E56" s="38">
        <v>59.193000197410598</v>
      </c>
    </row>
  </sheetData>
  <mergeCells count="18">
    <mergeCell ref="A25:J25"/>
    <mergeCell ref="K3:K4"/>
    <mergeCell ref="L3:L4"/>
    <mergeCell ref="M3:M4"/>
    <mergeCell ref="A5:J5"/>
    <mergeCell ref="A8:J8"/>
    <mergeCell ref="A11:J11"/>
    <mergeCell ref="A14:J14"/>
    <mergeCell ref="A18:J18"/>
    <mergeCell ref="A22:J2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9" bestFit="1" customWidth="1"/>
    <col min="21" max="21" width="12.7109375" style="4" bestFit="1" customWidth="1"/>
    <col min="22" max="16384" width="9.140625" style="3"/>
  </cols>
  <sheetData>
    <row r="1" spans="1:21" s="2" customFormat="1" ht="29.1" customHeight="1" x14ac:dyDescent="0.2">
      <c r="A1" s="82" t="s">
        <v>285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14</v>
      </c>
      <c r="H3" s="77"/>
      <c r="I3" s="77"/>
      <c r="J3" s="77"/>
      <c r="K3" s="77" t="s">
        <v>15</v>
      </c>
      <c r="L3" s="77"/>
      <c r="M3" s="77"/>
      <c r="N3" s="77"/>
      <c r="O3" s="77" t="s">
        <v>16</v>
      </c>
      <c r="P3" s="77"/>
      <c r="Q3" s="77"/>
      <c r="R3" s="77"/>
      <c r="S3" s="75" t="s">
        <v>1</v>
      </c>
      <c r="T3" s="75" t="s">
        <v>3</v>
      </c>
      <c r="U3" s="78" t="s">
        <v>2</v>
      </c>
    </row>
    <row r="4" spans="1:21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76"/>
      <c r="T4" s="76"/>
      <c r="U4" s="79"/>
    </row>
    <row r="5" spans="1:21" ht="15" x14ac:dyDescent="0.2">
      <c r="A5" s="80" t="s">
        <v>112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1" x14ac:dyDescent="0.2">
      <c r="A6" s="11" t="s">
        <v>287</v>
      </c>
      <c r="B6" s="11" t="s">
        <v>288</v>
      </c>
      <c r="C6" s="11" t="s">
        <v>289</v>
      </c>
      <c r="D6" s="12" t="str">
        <f>"0,8068"</f>
        <v>0,8068</v>
      </c>
      <c r="E6" s="11" t="s">
        <v>139</v>
      </c>
      <c r="F6" s="11" t="s">
        <v>290</v>
      </c>
      <c r="G6" s="13" t="s">
        <v>107</v>
      </c>
      <c r="H6" s="14" t="s">
        <v>96</v>
      </c>
      <c r="I6" s="14" t="s">
        <v>96</v>
      </c>
      <c r="J6" s="14"/>
      <c r="K6" s="13" t="s">
        <v>291</v>
      </c>
      <c r="L6" s="14" t="s">
        <v>292</v>
      </c>
      <c r="M6" s="13" t="s">
        <v>292</v>
      </c>
      <c r="N6" s="14"/>
      <c r="O6" s="13" t="s">
        <v>47</v>
      </c>
      <c r="P6" s="13" t="s">
        <v>181</v>
      </c>
      <c r="Q6" s="14"/>
      <c r="R6" s="14"/>
      <c r="S6" s="15" t="str">
        <f>"307,5"</f>
        <v>307,5</v>
      </c>
      <c r="T6" s="16" t="str">
        <f>"248,0910"</f>
        <v>248,0910</v>
      </c>
      <c r="U6" s="11" t="s">
        <v>293</v>
      </c>
    </row>
    <row r="7" spans="1:21" x14ac:dyDescent="0.2">
      <c r="A7" s="39" t="s">
        <v>295</v>
      </c>
      <c r="B7" s="39" t="s">
        <v>296</v>
      </c>
      <c r="C7" s="39" t="s">
        <v>147</v>
      </c>
      <c r="D7" s="40" t="str">
        <f>"0,7788"</f>
        <v>0,7788</v>
      </c>
      <c r="E7" s="39" t="s">
        <v>139</v>
      </c>
      <c r="F7" s="39" t="s">
        <v>290</v>
      </c>
      <c r="G7" s="41" t="s">
        <v>81</v>
      </c>
      <c r="H7" s="41" t="s">
        <v>83</v>
      </c>
      <c r="I7" s="41" t="s">
        <v>297</v>
      </c>
      <c r="J7" s="42"/>
      <c r="K7" s="41" t="s">
        <v>108</v>
      </c>
      <c r="L7" s="41" t="s">
        <v>81</v>
      </c>
      <c r="M7" s="42" t="s">
        <v>82</v>
      </c>
      <c r="N7" s="42"/>
      <c r="O7" s="41" t="s">
        <v>89</v>
      </c>
      <c r="P7" s="41" t="s">
        <v>96</v>
      </c>
      <c r="Q7" s="41" t="s">
        <v>168</v>
      </c>
      <c r="R7" s="42"/>
      <c r="S7" s="43" t="str">
        <f>"202,5"</f>
        <v>202,5</v>
      </c>
      <c r="T7" s="44" t="str">
        <f>"157,6969"</f>
        <v>157,6969</v>
      </c>
      <c r="U7" s="39" t="s">
        <v>293</v>
      </c>
    </row>
    <row r="8" spans="1:21" x14ac:dyDescent="0.2">
      <c r="A8" s="17" t="s">
        <v>298</v>
      </c>
      <c r="B8" s="17" t="s">
        <v>299</v>
      </c>
      <c r="C8" s="17" t="s">
        <v>147</v>
      </c>
      <c r="D8" s="18" t="str">
        <f>"0,7788"</f>
        <v>0,7788</v>
      </c>
      <c r="E8" s="17" t="s">
        <v>139</v>
      </c>
      <c r="F8" s="17" t="s">
        <v>290</v>
      </c>
      <c r="G8" s="19" t="s">
        <v>81</v>
      </c>
      <c r="H8" s="19" t="s">
        <v>83</v>
      </c>
      <c r="I8" s="19" t="s">
        <v>297</v>
      </c>
      <c r="J8" s="20"/>
      <c r="K8" s="19" t="s">
        <v>108</v>
      </c>
      <c r="L8" s="19" t="s">
        <v>81</v>
      </c>
      <c r="M8" s="20" t="s">
        <v>82</v>
      </c>
      <c r="N8" s="20"/>
      <c r="O8" s="19" t="s">
        <v>89</v>
      </c>
      <c r="P8" s="19" t="s">
        <v>96</v>
      </c>
      <c r="Q8" s="19" t="s">
        <v>168</v>
      </c>
      <c r="R8" s="20"/>
      <c r="S8" s="21" t="str">
        <f>"202,5"</f>
        <v>202,5</v>
      </c>
      <c r="T8" s="22" t="str">
        <f>"250,7380"</f>
        <v>250,7380</v>
      </c>
      <c r="U8" s="17" t="s">
        <v>293</v>
      </c>
    </row>
    <row r="10" spans="1:21" ht="15" x14ac:dyDescent="0.2">
      <c r="A10" s="83" t="s">
        <v>183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21" x14ac:dyDescent="0.2">
      <c r="A11" s="11" t="s">
        <v>301</v>
      </c>
      <c r="B11" s="11" t="s">
        <v>302</v>
      </c>
      <c r="C11" s="11" t="s">
        <v>303</v>
      </c>
      <c r="D11" s="12" t="str">
        <f>"0,5914"</f>
        <v>0,5914</v>
      </c>
      <c r="E11" s="11" t="s">
        <v>139</v>
      </c>
      <c r="F11" s="11" t="s">
        <v>290</v>
      </c>
      <c r="G11" s="13" t="s">
        <v>96</v>
      </c>
      <c r="H11" s="13" t="s">
        <v>304</v>
      </c>
      <c r="I11" s="14" t="s">
        <v>133</v>
      </c>
      <c r="J11" s="14"/>
      <c r="K11" s="13" t="s">
        <v>292</v>
      </c>
      <c r="L11" s="13" t="s">
        <v>88</v>
      </c>
      <c r="M11" s="14" t="s">
        <v>106</v>
      </c>
      <c r="N11" s="14"/>
      <c r="O11" s="13" t="s">
        <v>305</v>
      </c>
      <c r="P11" s="13" t="s">
        <v>306</v>
      </c>
      <c r="Q11" s="14"/>
      <c r="R11" s="14"/>
      <c r="S11" s="15" t="str">
        <f>"385,0"</f>
        <v>385,0</v>
      </c>
      <c r="T11" s="16" t="str">
        <f>"227,6890"</f>
        <v>227,6890</v>
      </c>
      <c r="U11" s="11" t="s">
        <v>293</v>
      </c>
    </row>
    <row r="12" spans="1:21" x14ac:dyDescent="0.2">
      <c r="A12" s="17" t="s">
        <v>301</v>
      </c>
      <c r="B12" s="17" t="s">
        <v>307</v>
      </c>
      <c r="C12" s="17" t="s">
        <v>303</v>
      </c>
      <c r="D12" s="18" t="str">
        <f>"0,5914"</f>
        <v>0,5914</v>
      </c>
      <c r="E12" s="17" t="s">
        <v>139</v>
      </c>
      <c r="F12" s="17" t="s">
        <v>290</v>
      </c>
      <c r="G12" s="19" t="s">
        <v>96</v>
      </c>
      <c r="H12" s="19" t="s">
        <v>304</v>
      </c>
      <c r="I12" s="20" t="s">
        <v>133</v>
      </c>
      <c r="J12" s="20"/>
      <c r="K12" s="19" t="s">
        <v>292</v>
      </c>
      <c r="L12" s="19" t="s">
        <v>88</v>
      </c>
      <c r="M12" s="20" t="s">
        <v>106</v>
      </c>
      <c r="N12" s="20"/>
      <c r="O12" s="19" t="s">
        <v>305</v>
      </c>
      <c r="P12" s="19" t="s">
        <v>306</v>
      </c>
      <c r="Q12" s="20"/>
      <c r="R12" s="20"/>
      <c r="S12" s="21" t="str">
        <f>"385,0"</f>
        <v>385,0</v>
      </c>
      <c r="T12" s="22" t="str">
        <f>"448,5474"</f>
        <v>448,5474</v>
      </c>
      <c r="U12" s="17" t="s">
        <v>293</v>
      </c>
    </row>
    <row r="14" spans="1:21" ht="15" x14ac:dyDescent="0.2">
      <c r="A14" s="83" t="s">
        <v>17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21" x14ac:dyDescent="0.2">
      <c r="A15" s="11" t="s">
        <v>309</v>
      </c>
      <c r="B15" s="11" t="s">
        <v>310</v>
      </c>
      <c r="C15" s="11" t="s">
        <v>311</v>
      </c>
      <c r="D15" s="12" t="str">
        <f>"0,5548"</f>
        <v>0,5548</v>
      </c>
      <c r="E15" s="11" t="s">
        <v>194</v>
      </c>
      <c r="F15" s="11" t="s">
        <v>240</v>
      </c>
      <c r="G15" s="13" t="s">
        <v>28</v>
      </c>
      <c r="H15" s="13" t="s">
        <v>196</v>
      </c>
      <c r="I15" s="14" t="s">
        <v>24</v>
      </c>
      <c r="J15" s="14"/>
      <c r="K15" s="13" t="s">
        <v>27</v>
      </c>
      <c r="L15" s="14" t="s">
        <v>45</v>
      </c>
      <c r="M15" s="14"/>
      <c r="N15" s="14"/>
      <c r="O15" s="13" t="s">
        <v>25</v>
      </c>
      <c r="P15" s="14"/>
      <c r="Q15" s="14"/>
      <c r="R15" s="14"/>
      <c r="S15" s="15" t="str">
        <f>"590,0"</f>
        <v>590,0</v>
      </c>
      <c r="T15" s="16" t="str">
        <f>"327,3320"</f>
        <v>327,3320</v>
      </c>
      <c r="U15" s="11" t="s">
        <v>199</v>
      </c>
    </row>
    <row r="16" spans="1:21" x14ac:dyDescent="0.2">
      <c r="A16" s="17" t="s">
        <v>313</v>
      </c>
      <c r="B16" s="17" t="s">
        <v>314</v>
      </c>
      <c r="C16" s="17" t="s">
        <v>315</v>
      </c>
      <c r="D16" s="18" t="str">
        <f>"0,5714"</f>
        <v>0,5714</v>
      </c>
      <c r="E16" s="17" t="s">
        <v>316</v>
      </c>
      <c r="F16" s="17" t="s">
        <v>317</v>
      </c>
      <c r="G16" s="19" t="s">
        <v>28</v>
      </c>
      <c r="H16" s="20" t="s">
        <v>46</v>
      </c>
      <c r="I16" s="19" t="s">
        <v>306</v>
      </c>
      <c r="J16" s="20"/>
      <c r="K16" s="19" t="s">
        <v>176</v>
      </c>
      <c r="L16" s="19" t="s">
        <v>47</v>
      </c>
      <c r="M16" s="19" t="s">
        <v>318</v>
      </c>
      <c r="N16" s="20"/>
      <c r="O16" s="19" t="s">
        <v>189</v>
      </c>
      <c r="P16" s="19" t="s">
        <v>319</v>
      </c>
      <c r="Q16" s="20" t="s">
        <v>26</v>
      </c>
      <c r="R16" s="20"/>
      <c r="S16" s="21" t="str">
        <f>"570,0"</f>
        <v>570,0</v>
      </c>
      <c r="T16" s="22" t="str">
        <f>"331,5606"</f>
        <v>331,5606</v>
      </c>
      <c r="U16" s="17" t="s">
        <v>320</v>
      </c>
    </row>
    <row r="18" spans="1:5" ht="15" x14ac:dyDescent="0.2">
      <c r="E18" s="29" t="s">
        <v>57</v>
      </c>
    </row>
    <row r="19" spans="1:5" ht="15" x14ac:dyDescent="0.2">
      <c r="E19" s="29" t="s">
        <v>58</v>
      </c>
    </row>
    <row r="20" spans="1:5" ht="15" x14ac:dyDescent="0.2">
      <c r="E20" s="29" t="s">
        <v>59</v>
      </c>
    </row>
    <row r="21" spans="1:5" ht="15" x14ac:dyDescent="0.2">
      <c r="E21" s="29" t="s">
        <v>60</v>
      </c>
    </row>
    <row r="22" spans="1:5" ht="15" x14ac:dyDescent="0.2">
      <c r="E22" s="29" t="s">
        <v>60</v>
      </c>
    </row>
    <row r="23" spans="1:5" ht="15" x14ac:dyDescent="0.2">
      <c r="E23" s="29" t="s">
        <v>61</v>
      </c>
    </row>
    <row r="24" spans="1:5" ht="15" x14ac:dyDescent="0.2">
      <c r="E24" s="29"/>
    </row>
    <row r="26" spans="1:5" ht="18" x14ac:dyDescent="0.25">
      <c r="A26" s="30" t="s">
        <v>62</v>
      </c>
      <c r="B26" s="30"/>
    </row>
    <row r="27" spans="1:5" ht="15" x14ac:dyDescent="0.2">
      <c r="A27" s="31" t="s">
        <v>266</v>
      </c>
      <c r="B27" s="31"/>
    </row>
    <row r="28" spans="1:5" ht="14.25" x14ac:dyDescent="0.2">
      <c r="A28" s="33"/>
      <c r="B28" s="34" t="s">
        <v>64</v>
      </c>
    </row>
    <row r="29" spans="1:5" ht="15" x14ac:dyDescent="0.2">
      <c r="A29" s="35" t="s">
        <v>65</v>
      </c>
      <c r="B29" s="35" t="s">
        <v>66</v>
      </c>
      <c r="C29" s="35" t="s">
        <v>67</v>
      </c>
      <c r="D29" s="36" t="s">
        <v>68</v>
      </c>
      <c r="E29" s="35" t="s">
        <v>69</v>
      </c>
    </row>
    <row r="30" spans="1:5" x14ac:dyDescent="0.2">
      <c r="A30" s="32" t="s">
        <v>286</v>
      </c>
      <c r="B30" s="4" t="s">
        <v>64</v>
      </c>
      <c r="C30" s="4" t="s">
        <v>269</v>
      </c>
      <c r="D30" s="37">
        <v>307.5</v>
      </c>
      <c r="E30" s="38">
        <v>248.09100240468999</v>
      </c>
    </row>
    <row r="31" spans="1:5" x14ac:dyDescent="0.2">
      <c r="A31" s="32" t="s">
        <v>294</v>
      </c>
      <c r="B31" s="4" t="s">
        <v>64</v>
      </c>
      <c r="C31" s="4" t="s">
        <v>269</v>
      </c>
      <c r="D31" s="37">
        <v>202.5</v>
      </c>
      <c r="E31" s="38">
        <v>157.69687548279799</v>
      </c>
    </row>
    <row r="33" spans="1:5" ht="14.25" x14ac:dyDescent="0.2">
      <c r="A33" s="33"/>
      <c r="B33" s="34" t="s">
        <v>73</v>
      </c>
    </row>
    <row r="34" spans="1:5" ht="15" x14ac:dyDescent="0.2">
      <c r="A34" s="35" t="s">
        <v>65</v>
      </c>
      <c r="B34" s="35" t="s">
        <v>66</v>
      </c>
      <c r="C34" s="35" t="s">
        <v>67</v>
      </c>
      <c r="D34" s="36" t="s">
        <v>68</v>
      </c>
      <c r="E34" s="35" t="s">
        <v>69</v>
      </c>
    </row>
    <row r="35" spans="1:5" x14ac:dyDescent="0.2">
      <c r="A35" s="32" t="s">
        <v>294</v>
      </c>
      <c r="B35" s="4" t="s">
        <v>274</v>
      </c>
      <c r="C35" s="4" t="s">
        <v>269</v>
      </c>
      <c r="D35" s="37">
        <v>202.5</v>
      </c>
      <c r="E35" s="38">
        <v>250.73803201764801</v>
      </c>
    </row>
    <row r="38" spans="1:5" ht="15" x14ac:dyDescent="0.2">
      <c r="A38" s="31" t="s">
        <v>63</v>
      </c>
      <c r="B38" s="31"/>
    </row>
    <row r="39" spans="1:5" ht="14.25" x14ac:dyDescent="0.2">
      <c r="A39" s="33"/>
      <c r="B39" s="34" t="s">
        <v>64</v>
      </c>
    </row>
    <row r="40" spans="1:5" ht="15" x14ac:dyDescent="0.2">
      <c r="A40" s="35" t="s">
        <v>65</v>
      </c>
      <c r="B40" s="35" t="s">
        <v>66</v>
      </c>
      <c r="C40" s="35" t="s">
        <v>67</v>
      </c>
      <c r="D40" s="36" t="s">
        <v>68</v>
      </c>
      <c r="E40" s="35" t="s">
        <v>69</v>
      </c>
    </row>
    <row r="41" spans="1:5" x14ac:dyDescent="0.2">
      <c r="A41" s="32" t="s">
        <v>308</v>
      </c>
      <c r="B41" s="4" t="s">
        <v>64</v>
      </c>
      <c r="C41" s="4" t="s">
        <v>70</v>
      </c>
      <c r="D41" s="37">
        <v>590</v>
      </c>
      <c r="E41" s="38">
        <v>327.33198463916801</v>
      </c>
    </row>
    <row r="42" spans="1:5" x14ac:dyDescent="0.2">
      <c r="A42" s="32" t="s">
        <v>300</v>
      </c>
      <c r="B42" s="4" t="s">
        <v>64</v>
      </c>
      <c r="C42" s="4" t="s">
        <v>284</v>
      </c>
      <c r="D42" s="37">
        <v>385</v>
      </c>
      <c r="E42" s="38">
        <v>227.68901050090801</v>
      </c>
    </row>
    <row r="44" spans="1:5" ht="14.25" x14ac:dyDescent="0.2">
      <c r="A44" s="33"/>
      <c r="B44" s="34" t="s">
        <v>73</v>
      </c>
    </row>
    <row r="45" spans="1:5" ht="15" x14ac:dyDescent="0.2">
      <c r="A45" s="35" t="s">
        <v>65</v>
      </c>
      <c r="B45" s="35" t="s">
        <v>66</v>
      </c>
      <c r="C45" s="35" t="s">
        <v>67</v>
      </c>
      <c r="D45" s="36" t="s">
        <v>68</v>
      </c>
      <c r="E45" s="35" t="s">
        <v>69</v>
      </c>
    </row>
    <row r="46" spans="1:5" x14ac:dyDescent="0.2">
      <c r="A46" s="32" t="s">
        <v>300</v>
      </c>
      <c r="B46" s="4" t="s">
        <v>321</v>
      </c>
      <c r="C46" s="4" t="s">
        <v>284</v>
      </c>
      <c r="D46" s="37">
        <v>385</v>
      </c>
      <c r="E46" s="38">
        <v>448.547350686789</v>
      </c>
    </row>
    <row r="47" spans="1:5" x14ac:dyDescent="0.2">
      <c r="A47" s="32" t="s">
        <v>312</v>
      </c>
      <c r="B47" s="4" t="s">
        <v>74</v>
      </c>
      <c r="C47" s="4" t="s">
        <v>70</v>
      </c>
      <c r="D47" s="37">
        <v>570</v>
      </c>
      <c r="E47" s="38">
        <v>331.56055630803098</v>
      </c>
    </row>
  </sheetData>
  <mergeCells count="16">
    <mergeCell ref="A10:R10"/>
    <mergeCell ref="A14:R14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9" bestFit="1" customWidth="1"/>
    <col min="21" max="21" width="26.42578125" style="4" bestFit="1" customWidth="1"/>
    <col min="22" max="16384" width="9.140625" style="3"/>
  </cols>
  <sheetData>
    <row r="1" spans="1:21" s="2" customFormat="1" ht="29.1" customHeight="1" x14ac:dyDescent="0.2">
      <c r="A1" s="82" t="s">
        <v>75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14</v>
      </c>
      <c r="H3" s="77"/>
      <c r="I3" s="77"/>
      <c r="J3" s="77"/>
      <c r="K3" s="77" t="s">
        <v>15</v>
      </c>
      <c r="L3" s="77"/>
      <c r="M3" s="77"/>
      <c r="N3" s="77"/>
      <c r="O3" s="77" t="s">
        <v>16</v>
      </c>
      <c r="P3" s="77"/>
      <c r="Q3" s="77"/>
      <c r="R3" s="77"/>
      <c r="S3" s="75" t="s">
        <v>1</v>
      </c>
      <c r="T3" s="75" t="s">
        <v>3</v>
      </c>
      <c r="U3" s="78" t="s">
        <v>2</v>
      </c>
    </row>
    <row r="4" spans="1:21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76"/>
      <c r="T4" s="76"/>
      <c r="U4" s="79"/>
    </row>
    <row r="5" spans="1:21" ht="15" x14ac:dyDescent="0.2">
      <c r="A5" s="80" t="s">
        <v>76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1" x14ac:dyDescent="0.2">
      <c r="A6" s="11" t="s">
        <v>78</v>
      </c>
      <c r="B6" s="11" t="s">
        <v>79</v>
      </c>
      <c r="C6" s="11" t="s">
        <v>80</v>
      </c>
      <c r="D6" s="12" t="str">
        <f>"0,9455"</f>
        <v>0,9455</v>
      </c>
      <c r="E6" s="11" t="s">
        <v>22</v>
      </c>
      <c r="F6" s="11" t="s">
        <v>23</v>
      </c>
      <c r="G6" s="13" t="s">
        <v>81</v>
      </c>
      <c r="H6" s="13" t="s">
        <v>82</v>
      </c>
      <c r="I6" s="13" t="s">
        <v>83</v>
      </c>
      <c r="J6" s="14"/>
      <c r="K6" s="13" t="s">
        <v>84</v>
      </c>
      <c r="L6" s="13" t="s">
        <v>85</v>
      </c>
      <c r="M6" s="13" t="s">
        <v>86</v>
      </c>
      <c r="N6" s="14"/>
      <c r="O6" s="13" t="s">
        <v>87</v>
      </c>
      <c r="P6" s="13" t="s">
        <v>88</v>
      </c>
      <c r="Q6" s="14" t="s">
        <v>89</v>
      </c>
      <c r="R6" s="14"/>
      <c r="S6" s="15" t="str">
        <f>"162,5"</f>
        <v>162,5</v>
      </c>
      <c r="T6" s="16" t="str">
        <f>"153,6438"</f>
        <v>153,6438</v>
      </c>
      <c r="U6" s="11" t="s">
        <v>33</v>
      </c>
    </row>
    <row r="7" spans="1:21" x14ac:dyDescent="0.2">
      <c r="A7" s="17" t="s">
        <v>78</v>
      </c>
      <c r="B7" s="17" t="s">
        <v>90</v>
      </c>
      <c r="C7" s="17" t="s">
        <v>80</v>
      </c>
      <c r="D7" s="18" t="str">
        <f>"0,9455"</f>
        <v>0,9455</v>
      </c>
      <c r="E7" s="17" t="s">
        <v>22</v>
      </c>
      <c r="F7" s="17" t="s">
        <v>23</v>
      </c>
      <c r="G7" s="19" t="s">
        <v>81</v>
      </c>
      <c r="H7" s="19" t="s">
        <v>82</v>
      </c>
      <c r="I7" s="19" t="s">
        <v>83</v>
      </c>
      <c r="J7" s="20"/>
      <c r="K7" s="19" t="s">
        <v>84</v>
      </c>
      <c r="L7" s="19" t="s">
        <v>85</v>
      </c>
      <c r="M7" s="19" t="s">
        <v>86</v>
      </c>
      <c r="N7" s="20"/>
      <c r="O7" s="19" t="s">
        <v>87</v>
      </c>
      <c r="P7" s="19" t="s">
        <v>88</v>
      </c>
      <c r="Q7" s="20" t="s">
        <v>89</v>
      </c>
      <c r="R7" s="20"/>
      <c r="S7" s="21" t="str">
        <f>"162,5"</f>
        <v>162,5</v>
      </c>
      <c r="T7" s="22" t="str">
        <f>"175,7685"</f>
        <v>175,7685</v>
      </c>
      <c r="U7" s="17" t="s">
        <v>33</v>
      </c>
    </row>
    <row r="9" spans="1:21" ht="15" x14ac:dyDescent="0.2">
      <c r="A9" s="83" t="s">
        <v>91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21" x14ac:dyDescent="0.2">
      <c r="A10" s="11" t="s">
        <v>93</v>
      </c>
      <c r="B10" s="11" t="s">
        <v>94</v>
      </c>
      <c r="C10" s="11" t="s">
        <v>95</v>
      </c>
      <c r="D10" s="12" t="str">
        <f>"0,8609"</f>
        <v>0,8609</v>
      </c>
      <c r="E10" s="11" t="s">
        <v>22</v>
      </c>
      <c r="F10" s="11" t="s">
        <v>23</v>
      </c>
      <c r="G10" s="13" t="s">
        <v>89</v>
      </c>
      <c r="H10" s="13" t="s">
        <v>96</v>
      </c>
      <c r="I10" s="13" t="s">
        <v>97</v>
      </c>
      <c r="J10" s="14"/>
      <c r="K10" s="13" t="s">
        <v>98</v>
      </c>
      <c r="L10" s="13" t="s">
        <v>99</v>
      </c>
      <c r="M10" s="13" t="s">
        <v>100</v>
      </c>
      <c r="N10" s="14"/>
      <c r="O10" s="13" t="s">
        <v>44</v>
      </c>
      <c r="P10" s="13" t="s">
        <v>27</v>
      </c>
      <c r="Q10" s="14" t="s">
        <v>101</v>
      </c>
      <c r="R10" s="14"/>
      <c r="S10" s="15" t="str">
        <f>"335,0"</f>
        <v>335,0</v>
      </c>
      <c r="T10" s="16" t="str">
        <f>"288,4015"</f>
        <v>288,4015</v>
      </c>
      <c r="U10" s="11" t="s">
        <v>33</v>
      </c>
    </row>
    <row r="11" spans="1:21" x14ac:dyDescent="0.2">
      <c r="A11" s="17" t="s">
        <v>103</v>
      </c>
      <c r="B11" s="17" t="s">
        <v>104</v>
      </c>
      <c r="C11" s="17" t="s">
        <v>95</v>
      </c>
      <c r="D11" s="18" t="str">
        <f>"0,8609"</f>
        <v>0,8609</v>
      </c>
      <c r="E11" s="17" t="s">
        <v>22</v>
      </c>
      <c r="F11" s="17" t="s">
        <v>23</v>
      </c>
      <c r="G11" s="19" t="s">
        <v>105</v>
      </c>
      <c r="H11" s="19" t="s">
        <v>106</v>
      </c>
      <c r="I11" s="19" t="s">
        <v>107</v>
      </c>
      <c r="J11" s="20"/>
      <c r="K11" s="20" t="s">
        <v>108</v>
      </c>
      <c r="L11" s="19" t="s">
        <v>108</v>
      </c>
      <c r="M11" s="19" t="s">
        <v>81</v>
      </c>
      <c r="N11" s="20"/>
      <c r="O11" s="19" t="s">
        <v>109</v>
      </c>
      <c r="P11" s="19" t="s">
        <v>110</v>
      </c>
      <c r="Q11" s="19" t="s">
        <v>111</v>
      </c>
      <c r="R11" s="20"/>
      <c r="S11" s="21" t="str">
        <f>"265,0"</f>
        <v>265,0</v>
      </c>
      <c r="T11" s="22" t="str">
        <f>"326,2380"</f>
        <v>326,2380</v>
      </c>
      <c r="U11" s="17" t="s">
        <v>33</v>
      </c>
    </row>
    <row r="13" spans="1:21" ht="15" x14ac:dyDescent="0.2">
      <c r="A13" s="83" t="s">
        <v>112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21" x14ac:dyDescent="0.2">
      <c r="A14" s="11" t="s">
        <v>114</v>
      </c>
      <c r="B14" s="11" t="s">
        <v>115</v>
      </c>
      <c r="C14" s="11" t="s">
        <v>116</v>
      </c>
      <c r="D14" s="12" t="str">
        <f>"0,7862"</f>
        <v>0,7862</v>
      </c>
      <c r="E14" s="11" t="s">
        <v>117</v>
      </c>
      <c r="F14" s="11" t="s">
        <v>118</v>
      </c>
      <c r="G14" s="14" t="s">
        <v>99</v>
      </c>
      <c r="H14" s="13" t="s">
        <v>99</v>
      </c>
      <c r="I14" s="13" t="s">
        <v>87</v>
      </c>
      <c r="J14" s="14"/>
      <c r="K14" s="13" t="s">
        <v>85</v>
      </c>
      <c r="L14" s="14" t="s">
        <v>108</v>
      </c>
      <c r="M14" s="13" t="s">
        <v>108</v>
      </c>
      <c r="N14" s="14"/>
      <c r="O14" s="13" t="s">
        <v>88</v>
      </c>
      <c r="P14" s="13" t="s">
        <v>89</v>
      </c>
      <c r="Q14" s="13" t="s">
        <v>96</v>
      </c>
      <c r="R14" s="14"/>
      <c r="S14" s="15" t="str">
        <f>"205,0"</f>
        <v>205,0</v>
      </c>
      <c r="T14" s="16" t="str">
        <f>"198,2403"</f>
        <v>198,2403</v>
      </c>
      <c r="U14" s="11" t="s">
        <v>119</v>
      </c>
    </row>
    <row r="15" spans="1:21" x14ac:dyDescent="0.2">
      <c r="A15" s="17" t="s">
        <v>114</v>
      </c>
      <c r="B15" s="17" t="s">
        <v>120</v>
      </c>
      <c r="C15" s="17" t="s">
        <v>116</v>
      </c>
      <c r="D15" s="18" t="str">
        <f>"0,7862"</f>
        <v>0,7862</v>
      </c>
      <c r="E15" s="17" t="s">
        <v>117</v>
      </c>
      <c r="F15" s="17" t="s">
        <v>118</v>
      </c>
      <c r="G15" s="20" t="s">
        <v>99</v>
      </c>
      <c r="H15" s="19" t="s">
        <v>99</v>
      </c>
      <c r="I15" s="19" t="s">
        <v>87</v>
      </c>
      <c r="J15" s="20"/>
      <c r="K15" s="19" t="s">
        <v>85</v>
      </c>
      <c r="L15" s="20" t="s">
        <v>108</v>
      </c>
      <c r="M15" s="19" t="s">
        <v>108</v>
      </c>
      <c r="N15" s="20"/>
      <c r="O15" s="19" t="s">
        <v>88</v>
      </c>
      <c r="P15" s="19" t="s">
        <v>89</v>
      </c>
      <c r="Q15" s="19" t="s">
        <v>96</v>
      </c>
      <c r="R15" s="20"/>
      <c r="S15" s="21" t="str">
        <f>"205,0"</f>
        <v>205,0</v>
      </c>
      <c r="T15" s="22" t="str">
        <f>"161,1710"</f>
        <v>161,1710</v>
      </c>
      <c r="U15" s="17" t="s">
        <v>119</v>
      </c>
    </row>
    <row r="17" spans="1:21" ht="15" x14ac:dyDescent="0.2">
      <c r="A17" s="83" t="s">
        <v>121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21" x14ac:dyDescent="0.2">
      <c r="A18" s="23" t="s">
        <v>123</v>
      </c>
      <c r="B18" s="23" t="s">
        <v>124</v>
      </c>
      <c r="C18" s="23" t="s">
        <v>125</v>
      </c>
      <c r="D18" s="24" t="str">
        <f>"0,7219"</f>
        <v>0,7219</v>
      </c>
      <c r="E18" s="23" t="s">
        <v>117</v>
      </c>
      <c r="F18" s="23" t="s">
        <v>118</v>
      </c>
      <c r="G18" s="25" t="s">
        <v>99</v>
      </c>
      <c r="H18" s="26" t="s">
        <v>87</v>
      </c>
      <c r="I18" s="25" t="s">
        <v>87</v>
      </c>
      <c r="J18" s="26"/>
      <c r="K18" s="25" t="s">
        <v>82</v>
      </c>
      <c r="L18" s="25" t="s">
        <v>83</v>
      </c>
      <c r="M18" s="25" t="s">
        <v>98</v>
      </c>
      <c r="N18" s="26"/>
      <c r="O18" s="25" t="s">
        <v>96</v>
      </c>
      <c r="P18" s="25" t="s">
        <v>97</v>
      </c>
      <c r="Q18" s="26"/>
      <c r="R18" s="26"/>
      <c r="S18" s="27" t="str">
        <f>"235,0"</f>
        <v>235,0</v>
      </c>
      <c r="T18" s="28" t="str">
        <f>"169,6582"</f>
        <v>169,6582</v>
      </c>
      <c r="U18" s="23" t="s">
        <v>126</v>
      </c>
    </row>
    <row r="20" spans="1:21" ht="15" x14ac:dyDescent="0.2">
      <c r="A20" s="83" t="s">
        <v>127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21" x14ac:dyDescent="0.2">
      <c r="A21" s="11" t="s">
        <v>129</v>
      </c>
      <c r="B21" s="11" t="s">
        <v>130</v>
      </c>
      <c r="C21" s="11" t="s">
        <v>131</v>
      </c>
      <c r="D21" s="12" t="str">
        <f>"0,5545"</f>
        <v>0,5545</v>
      </c>
      <c r="E21" s="11" t="s">
        <v>22</v>
      </c>
      <c r="F21" s="11" t="s">
        <v>23</v>
      </c>
      <c r="G21" s="13" t="s">
        <v>88</v>
      </c>
      <c r="H21" s="13" t="s">
        <v>89</v>
      </c>
      <c r="I21" s="13" t="s">
        <v>96</v>
      </c>
      <c r="J21" s="14"/>
      <c r="K21" s="13" t="s">
        <v>81</v>
      </c>
      <c r="L21" s="14" t="s">
        <v>82</v>
      </c>
      <c r="M21" s="13" t="s">
        <v>132</v>
      </c>
      <c r="N21" s="14"/>
      <c r="O21" s="13" t="s">
        <v>133</v>
      </c>
      <c r="P21" s="13" t="s">
        <v>111</v>
      </c>
      <c r="Q21" s="13" t="s">
        <v>47</v>
      </c>
      <c r="R21" s="14"/>
      <c r="S21" s="15" t="str">
        <f>"287,5"</f>
        <v>287,5</v>
      </c>
      <c r="T21" s="16" t="str">
        <f>"159,4331"</f>
        <v>159,4331</v>
      </c>
      <c r="U21" s="11" t="s">
        <v>33</v>
      </c>
    </row>
    <row r="22" spans="1:21" x14ac:dyDescent="0.2">
      <c r="A22" s="17" t="s">
        <v>129</v>
      </c>
      <c r="B22" s="17" t="s">
        <v>134</v>
      </c>
      <c r="C22" s="17" t="s">
        <v>131</v>
      </c>
      <c r="D22" s="18" t="str">
        <f>"0,5545"</f>
        <v>0,5545</v>
      </c>
      <c r="E22" s="17" t="s">
        <v>22</v>
      </c>
      <c r="F22" s="17" t="s">
        <v>23</v>
      </c>
      <c r="G22" s="19" t="s">
        <v>88</v>
      </c>
      <c r="H22" s="19" t="s">
        <v>89</v>
      </c>
      <c r="I22" s="19" t="s">
        <v>96</v>
      </c>
      <c r="J22" s="20"/>
      <c r="K22" s="19" t="s">
        <v>81</v>
      </c>
      <c r="L22" s="20" t="s">
        <v>82</v>
      </c>
      <c r="M22" s="19" t="s">
        <v>132</v>
      </c>
      <c r="N22" s="20"/>
      <c r="O22" s="19" t="s">
        <v>133</v>
      </c>
      <c r="P22" s="19" t="s">
        <v>111</v>
      </c>
      <c r="Q22" s="19" t="s">
        <v>47</v>
      </c>
      <c r="R22" s="20"/>
      <c r="S22" s="21" t="str">
        <f>"287,5"</f>
        <v>287,5</v>
      </c>
      <c r="T22" s="22" t="str">
        <f>"164,3755"</f>
        <v>164,3755</v>
      </c>
      <c r="U22" s="17" t="s">
        <v>33</v>
      </c>
    </row>
    <row r="24" spans="1:21" ht="15" x14ac:dyDescent="0.2">
      <c r="A24" s="83" t="s">
        <v>91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21" x14ac:dyDescent="0.2">
      <c r="A25" s="23" t="s">
        <v>136</v>
      </c>
      <c r="B25" s="23" t="s">
        <v>137</v>
      </c>
      <c r="C25" s="23" t="s">
        <v>138</v>
      </c>
      <c r="D25" s="24" t="str">
        <f>"0,8199"</f>
        <v>0,8199</v>
      </c>
      <c r="E25" s="23" t="s">
        <v>139</v>
      </c>
      <c r="F25" s="23" t="s">
        <v>140</v>
      </c>
      <c r="G25" s="25" t="s">
        <v>106</v>
      </c>
      <c r="H25" s="25" t="s">
        <v>89</v>
      </c>
      <c r="I25" s="26" t="s">
        <v>107</v>
      </c>
      <c r="J25" s="26"/>
      <c r="K25" s="25" t="s">
        <v>141</v>
      </c>
      <c r="L25" s="25" t="s">
        <v>132</v>
      </c>
      <c r="M25" s="25" t="s">
        <v>142</v>
      </c>
      <c r="N25" s="26"/>
      <c r="O25" s="26" t="s">
        <v>96</v>
      </c>
      <c r="P25" s="25" t="s">
        <v>96</v>
      </c>
      <c r="Q25" s="26" t="s">
        <v>109</v>
      </c>
      <c r="R25" s="26"/>
      <c r="S25" s="27" t="str">
        <f>"242,5"</f>
        <v>242,5</v>
      </c>
      <c r="T25" s="28" t="str">
        <f>"198,8257"</f>
        <v>198,8257</v>
      </c>
      <c r="U25" s="23" t="s">
        <v>143</v>
      </c>
    </row>
    <row r="27" spans="1:21" ht="15" x14ac:dyDescent="0.2">
      <c r="A27" s="83" t="s">
        <v>112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21" x14ac:dyDescent="0.2">
      <c r="A28" s="11" t="s">
        <v>145</v>
      </c>
      <c r="B28" s="11" t="s">
        <v>146</v>
      </c>
      <c r="C28" s="11" t="s">
        <v>147</v>
      </c>
      <c r="D28" s="12" t="str">
        <f>"0,7258"</f>
        <v>0,7258</v>
      </c>
      <c r="E28" s="11" t="s">
        <v>117</v>
      </c>
      <c r="F28" s="11" t="s">
        <v>118</v>
      </c>
      <c r="G28" s="13" t="s">
        <v>100</v>
      </c>
      <c r="H28" s="13" t="s">
        <v>87</v>
      </c>
      <c r="I28" s="13" t="s">
        <v>105</v>
      </c>
      <c r="J28" s="14"/>
      <c r="K28" s="13" t="s">
        <v>82</v>
      </c>
      <c r="L28" s="13" t="s">
        <v>83</v>
      </c>
      <c r="M28" s="13" t="s">
        <v>142</v>
      </c>
      <c r="N28" s="14"/>
      <c r="O28" s="13" t="s">
        <v>106</v>
      </c>
      <c r="P28" s="13" t="s">
        <v>107</v>
      </c>
      <c r="Q28" s="14" t="s">
        <v>96</v>
      </c>
      <c r="R28" s="14"/>
      <c r="S28" s="15" t="str">
        <f>"222,5"</f>
        <v>222,5</v>
      </c>
      <c r="T28" s="16" t="str">
        <f>"198,6333"</f>
        <v>198,6333</v>
      </c>
      <c r="U28" s="11" t="s">
        <v>126</v>
      </c>
    </row>
    <row r="29" spans="1:21" x14ac:dyDescent="0.2">
      <c r="A29" s="39" t="s">
        <v>149</v>
      </c>
      <c r="B29" s="39" t="s">
        <v>150</v>
      </c>
      <c r="C29" s="39" t="s">
        <v>147</v>
      </c>
      <c r="D29" s="40" t="str">
        <f>"0,7258"</f>
        <v>0,7258</v>
      </c>
      <c r="E29" s="39" t="s">
        <v>117</v>
      </c>
      <c r="F29" s="39" t="s">
        <v>151</v>
      </c>
      <c r="G29" s="41" t="s">
        <v>97</v>
      </c>
      <c r="H29" s="42" t="s">
        <v>133</v>
      </c>
      <c r="I29" s="41" t="s">
        <v>133</v>
      </c>
      <c r="J29" s="42"/>
      <c r="K29" s="41" t="s">
        <v>100</v>
      </c>
      <c r="L29" s="41" t="s">
        <v>87</v>
      </c>
      <c r="M29" s="42" t="s">
        <v>105</v>
      </c>
      <c r="N29" s="42"/>
      <c r="O29" s="41" t="s">
        <v>111</v>
      </c>
      <c r="P29" s="41" t="s">
        <v>47</v>
      </c>
      <c r="Q29" s="42" t="s">
        <v>44</v>
      </c>
      <c r="R29" s="42"/>
      <c r="S29" s="43" t="str">
        <f>"330,0"</f>
        <v>330,0</v>
      </c>
      <c r="T29" s="44" t="str">
        <f>"258,6751"</f>
        <v>258,6751</v>
      </c>
      <c r="U29" s="39" t="s">
        <v>119</v>
      </c>
    </row>
    <row r="30" spans="1:21" x14ac:dyDescent="0.2">
      <c r="A30" s="39" t="s">
        <v>153</v>
      </c>
      <c r="B30" s="39" t="s">
        <v>154</v>
      </c>
      <c r="C30" s="39" t="s">
        <v>155</v>
      </c>
      <c r="D30" s="40" t="str">
        <f>"0,7337"</f>
        <v>0,7337</v>
      </c>
      <c r="E30" s="39" t="s">
        <v>117</v>
      </c>
      <c r="F30" s="39" t="s">
        <v>118</v>
      </c>
      <c r="G30" s="41" t="s">
        <v>97</v>
      </c>
      <c r="H30" s="41" t="s">
        <v>133</v>
      </c>
      <c r="I30" s="42" t="s">
        <v>111</v>
      </c>
      <c r="J30" s="42"/>
      <c r="K30" s="41" t="s">
        <v>89</v>
      </c>
      <c r="L30" s="41" t="s">
        <v>96</v>
      </c>
      <c r="M30" s="42"/>
      <c r="N30" s="42"/>
      <c r="O30" s="41" t="s">
        <v>111</v>
      </c>
      <c r="P30" s="41" t="s">
        <v>47</v>
      </c>
      <c r="Q30" s="42" t="s">
        <v>156</v>
      </c>
      <c r="R30" s="42"/>
      <c r="S30" s="43" t="str">
        <f>"360,0"</f>
        <v>360,0</v>
      </c>
      <c r="T30" s="44" t="str">
        <f>"279,9799"</f>
        <v>279,9799</v>
      </c>
      <c r="U30" s="39" t="s">
        <v>119</v>
      </c>
    </row>
    <row r="31" spans="1:21" x14ac:dyDescent="0.2">
      <c r="A31" s="17" t="s">
        <v>153</v>
      </c>
      <c r="B31" s="17" t="s">
        <v>157</v>
      </c>
      <c r="C31" s="17" t="s">
        <v>155</v>
      </c>
      <c r="D31" s="18" t="str">
        <f>"0,7337"</f>
        <v>0,7337</v>
      </c>
      <c r="E31" s="17" t="s">
        <v>117</v>
      </c>
      <c r="F31" s="17" t="s">
        <v>118</v>
      </c>
      <c r="G31" s="19" t="s">
        <v>97</v>
      </c>
      <c r="H31" s="19" t="s">
        <v>133</v>
      </c>
      <c r="I31" s="20" t="s">
        <v>111</v>
      </c>
      <c r="J31" s="20"/>
      <c r="K31" s="19" t="s">
        <v>89</v>
      </c>
      <c r="L31" s="19" t="s">
        <v>96</v>
      </c>
      <c r="M31" s="20"/>
      <c r="N31" s="20"/>
      <c r="O31" s="19" t="s">
        <v>111</v>
      </c>
      <c r="P31" s="19" t="s">
        <v>47</v>
      </c>
      <c r="Q31" s="20" t="s">
        <v>156</v>
      </c>
      <c r="R31" s="20"/>
      <c r="S31" s="21" t="str">
        <f>"360,0"</f>
        <v>360,0</v>
      </c>
      <c r="T31" s="22" t="str">
        <f>"264,1320"</f>
        <v>264,1320</v>
      </c>
      <c r="U31" s="17" t="s">
        <v>119</v>
      </c>
    </row>
    <row r="33" spans="1:21" ht="15" x14ac:dyDescent="0.2">
      <c r="A33" s="83" t="s">
        <v>121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21" x14ac:dyDescent="0.2">
      <c r="A34" s="11" t="s">
        <v>159</v>
      </c>
      <c r="B34" s="11" t="s">
        <v>160</v>
      </c>
      <c r="C34" s="11" t="s">
        <v>161</v>
      </c>
      <c r="D34" s="12" t="str">
        <f>"0,6867"</f>
        <v>0,6867</v>
      </c>
      <c r="E34" s="11" t="s">
        <v>117</v>
      </c>
      <c r="F34" s="11" t="s">
        <v>118</v>
      </c>
      <c r="G34" s="13" t="s">
        <v>133</v>
      </c>
      <c r="H34" s="13" t="s">
        <v>110</v>
      </c>
      <c r="I34" s="14" t="s">
        <v>111</v>
      </c>
      <c r="J34" s="14"/>
      <c r="K34" s="13" t="s">
        <v>87</v>
      </c>
      <c r="L34" s="13" t="s">
        <v>105</v>
      </c>
      <c r="M34" s="13" t="s">
        <v>162</v>
      </c>
      <c r="N34" s="14"/>
      <c r="O34" s="13" t="s">
        <v>47</v>
      </c>
      <c r="P34" s="13" t="s">
        <v>44</v>
      </c>
      <c r="Q34" s="14" t="s">
        <v>27</v>
      </c>
      <c r="R34" s="14"/>
      <c r="S34" s="15" t="str">
        <f>"352,5"</f>
        <v>352,5</v>
      </c>
      <c r="T34" s="16" t="str">
        <f>"285,6329"</f>
        <v>285,6329</v>
      </c>
      <c r="U34" s="11" t="s">
        <v>119</v>
      </c>
    </row>
    <row r="35" spans="1:21" x14ac:dyDescent="0.2">
      <c r="A35" s="39" t="s">
        <v>164</v>
      </c>
      <c r="B35" s="39" t="s">
        <v>165</v>
      </c>
      <c r="C35" s="39" t="s">
        <v>166</v>
      </c>
      <c r="D35" s="40" t="str">
        <f>"0,6828"</f>
        <v>0,6828</v>
      </c>
      <c r="E35" s="39" t="s">
        <v>139</v>
      </c>
      <c r="F35" s="39" t="s">
        <v>167</v>
      </c>
      <c r="G35" s="41" t="s">
        <v>168</v>
      </c>
      <c r="H35" s="42" t="s">
        <v>109</v>
      </c>
      <c r="I35" s="41" t="s">
        <v>109</v>
      </c>
      <c r="J35" s="42"/>
      <c r="K35" s="41" t="s">
        <v>87</v>
      </c>
      <c r="L35" s="42" t="s">
        <v>88</v>
      </c>
      <c r="M35" s="41" t="s">
        <v>169</v>
      </c>
      <c r="N35" s="42"/>
      <c r="O35" s="41" t="s">
        <v>109</v>
      </c>
      <c r="P35" s="41" t="s">
        <v>111</v>
      </c>
      <c r="Q35" s="41" t="s">
        <v>47</v>
      </c>
      <c r="R35" s="42"/>
      <c r="S35" s="43" t="str">
        <f>"337,5"</f>
        <v>337,5</v>
      </c>
      <c r="T35" s="44" t="str">
        <f>"248,8806"</f>
        <v>248,8806</v>
      </c>
      <c r="U35" s="39" t="s">
        <v>143</v>
      </c>
    </row>
    <row r="36" spans="1:21" x14ac:dyDescent="0.2">
      <c r="A36" s="17" t="s">
        <v>159</v>
      </c>
      <c r="B36" s="17" t="s">
        <v>170</v>
      </c>
      <c r="C36" s="17" t="s">
        <v>161</v>
      </c>
      <c r="D36" s="18" t="str">
        <f>"0,6867"</f>
        <v>0,6867</v>
      </c>
      <c r="E36" s="17" t="s">
        <v>117</v>
      </c>
      <c r="F36" s="17" t="s">
        <v>118</v>
      </c>
      <c r="G36" s="19" t="s">
        <v>133</v>
      </c>
      <c r="H36" s="19" t="s">
        <v>110</v>
      </c>
      <c r="I36" s="20" t="s">
        <v>111</v>
      </c>
      <c r="J36" s="20"/>
      <c r="K36" s="19" t="s">
        <v>87</v>
      </c>
      <c r="L36" s="19" t="s">
        <v>105</v>
      </c>
      <c r="M36" s="19" t="s">
        <v>162</v>
      </c>
      <c r="N36" s="20"/>
      <c r="O36" s="19" t="s">
        <v>47</v>
      </c>
      <c r="P36" s="19" t="s">
        <v>44</v>
      </c>
      <c r="Q36" s="20" t="s">
        <v>27</v>
      </c>
      <c r="R36" s="20"/>
      <c r="S36" s="21" t="str">
        <f>"352,5"</f>
        <v>352,5</v>
      </c>
      <c r="T36" s="22" t="str">
        <f>"242,0617"</f>
        <v>242,0617</v>
      </c>
      <c r="U36" s="17" t="s">
        <v>119</v>
      </c>
    </row>
    <row r="38" spans="1:21" ht="15" x14ac:dyDescent="0.2">
      <c r="A38" s="83" t="s">
        <v>171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21" x14ac:dyDescent="0.2">
      <c r="A39" s="11" t="s">
        <v>173</v>
      </c>
      <c r="B39" s="11" t="s">
        <v>174</v>
      </c>
      <c r="C39" s="11" t="s">
        <v>175</v>
      </c>
      <c r="D39" s="12" t="str">
        <f>"0,6329"</f>
        <v>0,6329</v>
      </c>
      <c r="E39" s="11" t="s">
        <v>117</v>
      </c>
      <c r="F39" s="11" t="s">
        <v>118</v>
      </c>
      <c r="G39" s="13" t="s">
        <v>97</v>
      </c>
      <c r="H39" s="13" t="s">
        <v>133</v>
      </c>
      <c r="I39" s="14" t="s">
        <v>110</v>
      </c>
      <c r="J39" s="14"/>
      <c r="K39" s="13" t="s">
        <v>99</v>
      </c>
      <c r="L39" s="13" t="s">
        <v>100</v>
      </c>
      <c r="M39" s="14" t="s">
        <v>87</v>
      </c>
      <c r="N39" s="14"/>
      <c r="O39" s="13" t="s">
        <v>133</v>
      </c>
      <c r="P39" s="13" t="s">
        <v>111</v>
      </c>
      <c r="Q39" s="14" t="s">
        <v>176</v>
      </c>
      <c r="R39" s="14"/>
      <c r="S39" s="15" t="str">
        <f>"315,0"</f>
        <v>315,0</v>
      </c>
      <c r="T39" s="16" t="str">
        <f>"215,3126"</f>
        <v>215,3126</v>
      </c>
      <c r="U39" s="11" t="s">
        <v>126</v>
      </c>
    </row>
    <row r="40" spans="1:21" x14ac:dyDescent="0.2">
      <c r="A40" s="39" t="s">
        <v>178</v>
      </c>
      <c r="B40" s="39" t="s">
        <v>179</v>
      </c>
      <c r="C40" s="39" t="s">
        <v>180</v>
      </c>
      <c r="D40" s="40" t="str">
        <f>"0,6335"</f>
        <v>0,6335</v>
      </c>
      <c r="E40" s="39" t="s">
        <v>117</v>
      </c>
      <c r="F40" s="39" t="s">
        <v>118</v>
      </c>
      <c r="G40" s="41" t="s">
        <v>181</v>
      </c>
      <c r="H40" s="42" t="s">
        <v>44</v>
      </c>
      <c r="I40" s="41" t="s">
        <v>156</v>
      </c>
      <c r="J40" s="42"/>
      <c r="K40" s="41" t="s">
        <v>89</v>
      </c>
      <c r="L40" s="41" t="s">
        <v>96</v>
      </c>
      <c r="M40" s="42" t="s">
        <v>168</v>
      </c>
      <c r="N40" s="42"/>
      <c r="O40" s="41" t="s">
        <v>45</v>
      </c>
      <c r="P40" s="41" t="s">
        <v>28</v>
      </c>
      <c r="Q40" s="41" t="s">
        <v>46</v>
      </c>
      <c r="R40" s="42"/>
      <c r="S40" s="43" t="str">
        <f>"445,0"</f>
        <v>445,0</v>
      </c>
      <c r="T40" s="44" t="str">
        <f>"287,5456"</f>
        <v>287,5456</v>
      </c>
      <c r="U40" s="39" t="s">
        <v>119</v>
      </c>
    </row>
    <row r="41" spans="1:21" x14ac:dyDescent="0.2">
      <c r="A41" s="17" t="s">
        <v>178</v>
      </c>
      <c r="B41" s="17" t="s">
        <v>182</v>
      </c>
      <c r="C41" s="17" t="s">
        <v>180</v>
      </c>
      <c r="D41" s="18" t="str">
        <f>"0,6335"</f>
        <v>0,6335</v>
      </c>
      <c r="E41" s="17" t="s">
        <v>117</v>
      </c>
      <c r="F41" s="17" t="s">
        <v>118</v>
      </c>
      <c r="G41" s="19" t="s">
        <v>181</v>
      </c>
      <c r="H41" s="20" t="s">
        <v>44</v>
      </c>
      <c r="I41" s="19" t="s">
        <v>156</v>
      </c>
      <c r="J41" s="20"/>
      <c r="K41" s="19" t="s">
        <v>89</v>
      </c>
      <c r="L41" s="19" t="s">
        <v>96</v>
      </c>
      <c r="M41" s="20" t="s">
        <v>168</v>
      </c>
      <c r="N41" s="20"/>
      <c r="O41" s="19" t="s">
        <v>45</v>
      </c>
      <c r="P41" s="19" t="s">
        <v>28</v>
      </c>
      <c r="Q41" s="19" t="s">
        <v>46</v>
      </c>
      <c r="R41" s="20"/>
      <c r="S41" s="21" t="str">
        <f>"445,0"</f>
        <v>445,0</v>
      </c>
      <c r="T41" s="22" t="str">
        <f>"281,9075"</f>
        <v>281,9075</v>
      </c>
      <c r="U41" s="17" t="s">
        <v>119</v>
      </c>
    </row>
    <row r="43" spans="1:21" ht="15" x14ac:dyDescent="0.2">
      <c r="A43" s="83" t="s">
        <v>183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21" x14ac:dyDescent="0.2">
      <c r="A44" s="11" t="s">
        <v>185</v>
      </c>
      <c r="B44" s="11" t="s">
        <v>186</v>
      </c>
      <c r="C44" s="11" t="s">
        <v>187</v>
      </c>
      <c r="D44" s="12" t="str">
        <f>"0,5861"</f>
        <v>0,5861</v>
      </c>
      <c r="E44" s="11" t="s">
        <v>22</v>
      </c>
      <c r="F44" s="11" t="s">
        <v>23</v>
      </c>
      <c r="G44" s="13" t="s">
        <v>48</v>
      </c>
      <c r="H44" s="13" t="s">
        <v>56</v>
      </c>
      <c r="I44" s="13" t="s">
        <v>29</v>
      </c>
      <c r="J44" s="14"/>
      <c r="K44" s="13" t="s">
        <v>133</v>
      </c>
      <c r="L44" s="13" t="s">
        <v>111</v>
      </c>
      <c r="M44" s="14" t="s">
        <v>47</v>
      </c>
      <c r="N44" s="14"/>
      <c r="O44" s="13" t="s">
        <v>188</v>
      </c>
      <c r="P44" s="13" t="s">
        <v>189</v>
      </c>
      <c r="Q44" s="14" t="s">
        <v>25</v>
      </c>
      <c r="R44" s="14"/>
      <c r="S44" s="15" t="str">
        <f>"540,0"</f>
        <v>540,0</v>
      </c>
      <c r="T44" s="16" t="str">
        <f>"316,4940"</f>
        <v>316,4940</v>
      </c>
      <c r="U44" s="11" t="s">
        <v>33</v>
      </c>
    </row>
    <row r="45" spans="1:21" x14ac:dyDescent="0.2">
      <c r="A45" s="39" t="s">
        <v>191</v>
      </c>
      <c r="B45" s="39" t="s">
        <v>192</v>
      </c>
      <c r="C45" s="39" t="s">
        <v>193</v>
      </c>
      <c r="D45" s="40" t="str">
        <f>"0,5881"</f>
        <v>0,5881</v>
      </c>
      <c r="E45" s="39" t="s">
        <v>194</v>
      </c>
      <c r="F45" s="39" t="s">
        <v>195</v>
      </c>
      <c r="G45" s="41" t="s">
        <v>28</v>
      </c>
      <c r="H45" s="41" t="s">
        <v>46</v>
      </c>
      <c r="I45" s="41" t="s">
        <v>196</v>
      </c>
      <c r="J45" s="42"/>
      <c r="K45" s="41" t="s">
        <v>133</v>
      </c>
      <c r="L45" s="42" t="s">
        <v>197</v>
      </c>
      <c r="M45" s="42" t="s">
        <v>197</v>
      </c>
      <c r="N45" s="42"/>
      <c r="O45" s="41" t="s">
        <v>46</v>
      </c>
      <c r="P45" s="41" t="s">
        <v>188</v>
      </c>
      <c r="Q45" s="42" t="s">
        <v>198</v>
      </c>
      <c r="R45" s="42"/>
      <c r="S45" s="43" t="str">
        <f>"530,0"</f>
        <v>530,0</v>
      </c>
      <c r="T45" s="44" t="str">
        <f>"311,6930"</f>
        <v>311,6930</v>
      </c>
      <c r="U45" s="39" t="s">
        <v>199</v>
      </c>
    </row>
    <row r="46" spans="1:21" x14ac:dyDescent="0.2">
      <c r="A46" s="39" t="s">
        <v>201</v>
      </c>
      <c r="B46" s="39" t="s">
        <v>202</v>
      </c>
      <c r="C46" s="39" t="s">
        <v>203</v>
      </c>
      <c r="D46" s="40" t="str">
        <f>"0,5853"</f>
        <v>0,5853</v>
      </c>
      <c r="E46" s="39" t="s">
        <v>22</v>
      </c>
      <c r="F46" s="39" t="s">
        <v>23</v>
      </c>
      <c r="G46" s="41" t="s">
        <v>133</v>
      </c>
      <c r="H46" s="41" t="s">
        <v>111</v>
      </c>
      <c r="I46" s="41" t="s">
        <v>181</v>
      </c>
      <c r="J46" s="42"/>
      <c r="K46" s="41" t="s">
        <v>107</v>
      </c>
      <c r="L46" s="41" t="s">
        <v>168</v>
      </c>
      <c r="M46" s="41" t="s">
        <v>109</v>
      </c>
      <c r="N46" s="42"/>
      <c r="O46" s="41" t="s">
        <v>188</v>
      </c>
      <c r="P46" s="41" t="s">
        <v>24</v>
      </c>
      <c r="Q46" s="41" t="s">
        <v>189</v>
      </c>
      <c r="R46" s="42"/>
      <c r="S46" s="43" t="str">
        <f>"485,0"</f>
        <v>485,0</v>
      </c>
      <c r="T46" s="44" t="str">
        <f>"283,8705"</f>
        <v>283,8705</v>
      </c>
      <c r="U46" s="39" t="s">
        <v>33</v>
      </c>
    </row>
    <row r="47" spans="1:21" x14ac:dyDescent="0.2">
      <c r="A47" s="39" t="s">
        <v>205</v>
      </c>
      <c r="B47" s="39" t="s">
        <v>206</v>
      </c>
      <c r="C47" s="39" t="s">
        <v>207</v>
      </c>
      <c r="D47" s="40" t="str">
        <f>"0,5943"</f>
        <v>0,5943</v>
      </c>
      <c r="E47" s="39" t="s">
        <v>22</v>
      </c>
      <c r="F47" s="39" t="s">
        <v>23</v>
      </c>
      <c r="G47" s="41" t="s">
        <v>133</v>
      </c>
      <c r="H47" s="41" t="s">
        <v>111</v>
      </c>
      <c r="I47" s="41" t="s">
        <v>181</v>
      </c>
      <c r="J47" s="42"/>
      <c r="K47" s="41" t="s">
        <v>96</v>
      </c>
      <c r="L47" s="41" t="s">
        <v>168</v>
      </c>
      <c r="M47" s="41" t="s">
        <v>109</v>
      </c>
      <c r="N47" s="42"/>
      <c r="O47" s="41" t="s">
        <v>196</v>
      </c>
      <c r="P47" s="42" t="s">
        <v>188</v>
      </c>
      <c r="Q47" s="42" t="s">
        <v>188</v>
      </c>
      <c r="R47" s="42"/>
      <c r="S47" s="43" t="str">
        <f>"460,0"</f>
        <v>460,0</v>
      </c>
      <c r="T47" s="44" t="str">
        <f>"278,2988"</f>
        <v>278,2988</v>
      </c>
      <c r="U47" s="39" t="s">
        <v>33</v>
      </c>
    </row>
    <row r="48" spans="1:21" x14ac:dyDescent="0.2">
      <c r="A48" s="17" t="s">
        <v>208</v>
      </c>
      <c r="B48" s="17" t="s">
        <v>209</v>
      </c>
      <c r="C48" s="17" t="s">
        <v>203</v>
      </c>
      <c r="D48" s="18" t="str">
        <f>"0,5853"</f>
        <v>0,5853</v>
      </c>
      <c r="E48" s="17" t="s">
        <v>22</v>
      </c>
      <c r="F48" s="17" t="s">
        <v>23</v>
      </c>
      <c r="G48" s="19" t="s">
        <v>133</v>
      </c>
      <c r="H48" s="19" t="s">
        <v>111</v>
      </c>
      <c r="I48" s="19" t="s">
        <v>181</v>
      </c>
      <c r="J48" s="20"/>
      <c r="K48" s="19" t="s">
        <v>107</v>
      </c>
      <c r="L48" s="19" t="s">
        <v>168</v>
      </c>
      <c r="M48" s="19" t="s">
        <v>109</v>
      </c>
      <c r="N48" s="20"/>
      <c r="O48" s="19" t="s">
        <v>188</v>
      </c>
      <c r="P48" s="19" t="s">
        <v>24</v>
      </c>
      <c r="Q48" s="19" t="s">
        <v>189</v>
      </c>
      <c r="R48" s="20"/>
      <c r="S48" s="21" t="str">
        <f>"485,0"</f>
        <v>485,0</v>
      </c>
      <c r="T48" s="22" t="str">
        <f>"391,7413"</f>
        <v>391,7413</v>
      </c>
      <c r="U48" s="17" t="s">
        <v>33</v>
      </c>
    </row>
    <row r="50" spans="1:21" ht="15" x14ac:dyDescent="0.2">
      <c r="A50" s="83" t="s">
        <v>17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21" x14ac:dyDescent="0.2">
      <c r="A51" s="11" t="s">
        <v>211</v>
      </c>
      <c r="B51" s="11" t="s">
        <v>212</v>
      </c>
      <c r="C51" s="11" t="s">
        <v>213</v>
      </c>
      <c r="D51" s="12" t="str">
        <f>"0,5678"</f>
        <v>0,5678</v>
      </c>
      <c r="E51" s="11" t="s">
        <v>117</v>
      </c>
      <c r="F51" s="11" t="s">
        <v>118</v>
      </c>
      <c r="G51" s="14" t="s">
        <v>47</v>
      </c>
      <c r="H51" s="13" t="s">
        <v>47</v>
      </c>
      <c r="I51" s="14" t="s">
        <v>27</v>
      </c>
      <c r="J51" s="14"/>
      <c r="K51" s="13" t="s">
        <v>88</v>
      </c>
      <c r="L51" s="13" t="s">
        <v>89</v>
      </c>
      <c r="M51" s="14" t="s">
        <v>107</v>
      </c>
      <c r="N51" s="14"/>
      <c r="O51" s="13" t="s">
        <v>44</v>
      </c>
      <c r="P51" s="13" t="s">
        <v>27</v>
      </c>
      <c r="Q51" s="14"/>
      <c r="R51" s="14"/>
      <c r="S51" s="15" t="str">
        <f>"390,0"</f>
        <v>390,0</v>
      </c>
      <c r="T51" s="16" t="str">
        <f>"272,3737"</f>
        <v>272,3737</v>
      </c>
      <c r="U51" s="11" t="s">
        <v>119</v>
      </c>
    </row>
    <row r="52" spans="1:21" x14ac:dyDescent="0.2">
      <c r="A52" s="39" t="s">
        <v>215</v>
      </c>
      <c r="B52" s="39" t="s">
        <v>216</v>
      </c>
      <c r="C52" s="39" t="s">
        <v>217</v>
      </c>
      <c r="D52" s="40" t="str">
        <f>"0,5694"</f>
        <v>0,5694</v>
      </c>
      <c r="E52" s="39" t="s">
        <v>117</v>
      </c>
      <c r="F52" s="39" t="s">
        <v>118</v>
      </c>
      <c r="G52" s="41" t="s">
        <v>111</v>
      </c>
      <c r="H52" s="41" t="s">
        <v>44</v>
      </c>
      <c r="I52" s="42" t="s">
        <v>27</v>
      </c>
      <c r="J52" s="42"/>
      <c r="K52" s="41" t="s">
        <v>89</v>
      </c>
      <c r="L52" s="42" t="s">
        <v>96</v>
      </c>
      <c r="M52" s="41" t="s">
        <v>96</v>
      </c>
      <c r="N52" s="42"/>
      <c r="O52" s="41" t="s">
        <v>28</v>
      </c>
      <c r="P52" s="41" t="s">
        <v>196</v>
      </c>
      <c r="Q52" s="42" t="s">
        <v>218</v>
      </c>
      <c r="R52" s="42"/>
      <c r="S52" s="43" t="str">
        <f>"450,0"</f>
        <v>450,0</v>
      </c>
      <c r="T52" s="44" t="str">
        <f>"271,6038"</f>
        <v>271,6038</v>
      </c>
      <c r="U52" s="39" t="s">
        <v>119</v>
      </c>
    </row>
    <row r="53" spans="1:21" x14ac:dyDescent="0.2">
      <c r="A53" s="39" t="s">
        <v>220</v>
      </c>
      <c r="B53" s="39" t="s">
        <v>221</v>
      </c>
      <c r="C53" s="39" t="s">
        <v>217</v>
      </c>
      <c r="D53" s="40" t="str">
        <f>"0,5694"</f>
        <v>0,5694</v>
      </c>
      <c r="E53" s="39" t="s">
        <v>222</v>
      </c>
      <c r="F53" s="39" t="s">
        <v>195</v>
      </c>
      <c r="G53" s="41" t="s">
        <v>46</v>
      </c>
      <c r="H53" s="41" t="s">
        <v>196</v>
      </c>
      <c r="I53" s="41" t="s">
        <v>188</v>
      </c>
      <c r="J53" s="42"/>
      <c r="K53" s="41" t="s">
        <v>45</v>
      </c>
      <c r="L53" s="41" t="s">
        <v>28</v>
      </c>
      <c r="M53" s="41" t="s">
        <v>29</v>
      </c>
      <c r="N53" s="42"/>
      <c r="O53" s="41" t="s">
        <v>24</v>
      </c>
      <c r="P53" s="41" t="s">
        <v>26</v>
      </c>
      <c r="Q53" s="41" t="s">
        <v>223</v>
      </c>
      <c r="R53" s="42"/>
      <c r="S53" s="43" t="str">
        <f>"645,0"</f>
        <v>645,0</v>
      </c>
      <c r="T53" s="44" t="str">
        <f>"367,2630"</f>
        <v>367,2630</v>
      </c>
      <c r="U53" s="39" t="s">
        <v>224</v>
      </c>
    </row>
    <row r="54" spans="1:21" x14ac:dyDescent="0.2">
      <c r="A54" s="39" t="s">
        <v>225</v>
      </c>
      <c r="B54" s="39" t="s">
        <v>226</v>
      </c>
      <c r="C54" s="39" t="s">
        <v>217</v>
      </c>
      <c r="D54" s="40" t="str">
        <f>"0,5694"</f>
        <v>0,5694</v>
      </c>
      <c r="E54" s="39" t="s">
        <v>117</v>
      </c>
      <c r="F54" s="39" t="s">
        <v>118</v>
      </c>
      <c r="G54" s="41" t="s">
        <v>111</v>
      </c>
      <c r="H54" s="41" t="s">
        <v>44</v>
      </c>
      <c r="I54" s="42" t="s">
        <v>27</v>
      </c>
      <c r="J54" s="42"/>
      <c r="K54" s="41" t="s">
        <v>89</v>
      </c>
      <c r="L54" s="42" t="s">
        <v>96</v>
      </c>
      <c r="M54" s="41" t="s">
        <v>96</v>
      </c>
      <c r="N54" s="42"/>
      <c r="O54" s="41" t="s">
        <v>28</v>
      </c>
      <c r="P54" s="41" t="s">
        <v>196</v>
      </c>
      <c r="Q54" s="42" t="s">
        <v>218</v>
      </c>
      <c r="R54" s="42"/>
      <c r="S54" s="43" t="str">
        <f>"450,0"</f>
        <v>450,0</v>
      </c>
      <c r="T54" s="44" t="str">
        <f>"256,2300"</f>
        <v>256,2300</v>
      </c>
      <c r="U54" s="39" t="s">
        <v>119</v>
      </c>
    </row>
    <row r="55" spans="1:21" x14ac:dyDescent="0.2">
      <c r="A55" s="39" t="s">
        <v>228</v>
      </c>
      <c r="B55" s="39" t="s">
        <v>229</v>
      </c>
      <c r="C55" s="39" t="s">
        <v>217</v>
      </c>
      <c r="D55" s="40" t="str">
        <f>"0,5694"</f>
        <v>0,5694</v>
      </c>
      <c r="E55" s="39" t="s">
        <v>117</v>
      </c>
      <c r="F55" s="39" t="s">
        <v>118</v>
      </c>
      <c r="G55" s="41" t="s">
        <v>47</v>
      </c>
      <c r="H55" s="41" t="s">
        <v>181</v>
      </c>
      <c r="I55" s="42" t="s">
        <v>44</v>
      </c>
      <c r="J55" s="42"/>
      <c r="K55" s="41" t="s">
        <v>133</v>
      </c>
      <c r="L55" s="42" t="s">
        <v>110</v>
      </c>
      <c r="M55" s="42" t="s">
        <v>110</v>
      </c>
      <c r="N55" s="42"/>
      <c r="O55" s="41" t="s">
        <v>27</v>
      </c>
      <c r="P55" s="41" t="s">
        <v>45</v>
      </c>
      <c r="Q55" s="42"/>
      <c r="R55" s="42"/>
      <c r="S55" s="43" t="str">
        <f>"435,0"</f>
        <v>435,0</v>
      </c>
      <c r="T55" s="44" t="str">
        <f>"247,6890"</f>
        <v>247,6890</v>
      </c>
      <c r="U55" s="39" t="s">
        <v>126</v>
      </c>
    </row>
    <row r="56" spans="1:21" x14ac:dyDescent="0.2">
      <c r="A56" s="17" t="s">
        <v>230</v>
      </c>
      <c r="B56" s="17" t="s">
        <v>231</v>
      </c>
      <c r="C56" s="17" t="s">
        <v>217</v>
      </c>
      <c r="D56" s="18" t="str">
        <f>"0,5694"</f>
        <v>0,5694</v>
      </c>
      <c r="E56" s="17" t="s">
        <v>117</v>
      </c>
      <c r="F56" s="17" t="s">
        <v>118</v>
      </c>
      <c r="G56" s="19" t="s">
        <v>47</v>
      </c>
      <c r="H56" s="19" t="s">
        <v>181</v>
      </c>
      <c r="I56" s="20" t="s">
        <v>44</v>
      </c>
      <c r="J56" s="20"/>
      <c r="K56" s="19" t="s">
        <v>133</v>
      </c>
      <c r="L56" s="20" t="s">
        <v>110</v>
      </c>
      <c r="M56" s="20" t="s">
        <v>110</v>
      </c>
      <c r="N56" s="20"/>
      <c r="O56" s="19" t="s">
        <v>27</v>
      </c>
      <c r="P56" s="19" t="s">
        <v>45</v>
      </c>
      <c r="Q56" s="20"/>
      <c r="R56" s="20"/>
      <c r="S56" s="21" t="str">
        <f>"435,0"</f>
        <v>435,0</v>
      </c>
      <c r="T56" s="22" t="str">
        <f>"283,3562"</f>
        <v>283,3562</v>
      </c>
      <c r="U56" s="17" t="s">
        <v>126</v>
      </c>
    </row>
    <row r="58" spans="1:21" ht="15" x14ac:dyDescent="0.2">
      <c r="A58" s="83" t="s">
        <v>39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21" x14ac:dyDescent="0.2">
      <c r="A59" s="11" t="s">
        <v>233</v>
      </c>
      <c r="B59" s="11" t="s">
        <v>234</v>
      </c>
      <c r="C59" s="11" t="s">
        <v>235</v>
      </c>
      <c r="D59" s="12" t="str">
        <f>"0,5477"</f>
        <v>0,5477</v>
      </c>
      <c r="E59" s="11" t="s">
        <v>139</v>
      </c>
      <c r="F59" s="11" t="s">
        <v>167</v>
      </c>
      <c r="G59" s="13" t="s">
        <v>88</v>
      </c>
      <c r="H59" s="14" t="s">
        <v>89</v>
      </c>
      <c r="I59" s="14" t="s">
        <v>89</v>
      </c>
      <c r="J59" s="14"/>
      <c r="K59" s="13" t="s">
        <v>100</v>
      </c>
      <c r="L59" s="13" t="s">
        <v>105</v>
      </c>
      <c r="M59" s="13" t="s">
        <v>88</v>
      </c>
      <c r="N59" s="14"/>
      <c r="O59" s="13" t="s">
        <v>109</v>
      </c>
      <c r="P59" s="13" t="s">
        <v>111</v>
      </c>
      <c r="Q59" s="13" t="s">
        <v>47</v>
      </c>
      <c r="R59" s="14"/>
      <c r="S59" s="15" t="str">
        <f>"300,0"</f>
        <v>300,0</v>
      </c>
      <c r="T59" s="16" t="str">
        <f>"169,2393"</f>
        <v>169,2393</v>
      </c>
      <c r="U59" s="11" t="s">
        <v>143</v>
      </c>
    </row>
    <row r="60" spans="1:21" x14ac:dyDescent="0.2">
      <c r="A60" s="39" t="s">
        <v>237</v>
      </c>
      <c r="B60" s="39" t="s">
        <v>238</v>
      </c>
      <c r="C60" s="39" t="s">
        <v>239</v>
      </c>
      <c r="D60" s="40" t="str">
        <f>"0,5382"</f>
        <v>0,5382</v>
      </c>
      <c r="E60" s="39" t="s">
        <v>117</v>
      </c>
      <c r="F60" s="39" t="s">
        <v>240</v>
      </c>
      <c r="G60" s="42" t="s">
        <v>56</v>
      </c>
      <c r="H60" s="41" t="s">
        <v>56</v>
      </c>
      <c r="I60" s="42" t="s">
        <v>29</v>
      </c>
      <c r="J60" s="42"/>
      <c r="K60" s="41" t="s">
        <v>97</v>
      </c>
      <c r="L60" s="41" t="s">
        <v>133</v>
      </c>
      <c r="M60" s="42" t="s">
        <v>110</v>
      </c>
      <c r="N60" s="42"/>
      <c r="O60" s="41" t="s">
        <v>46</v>
      </c>
      <c r="P60" s="41" t="s">
        <v>196</v>
      </c>
      <c r="Q60" s="42" t="s">
        <v>188</v>
      </c>
      <c r="R60" s="42"/>
      <c r="S60" s="43" t="str">
        <f>"495,0"</f>
        <v>495,0</v>
      </c>
      <c r="T60" s="44" t="str">
        <f>"266,4090"</f>
        <v>266,4090</v>
      </c>
      <c r="U60" s="39" t="s">
        <v>119</v>
      </c>
    </row>
    <row r="61" spans="1:21" x14ac:dyDescent="0.2">
      <c r="A61" s="39" t="s">
        <v>242</v>
      </c>
      <c r="B61" s="39" t="s">
        <v>243</v>
      </c>
      <c r="C61" s="39" t="s">
        <v>244</v>
      </c>
      <c r="D61" s="40" t="str">
        <f>"0,5371"</f>
        <v>0,5371</v>
      </c>
      <c r="E61" s="39" t="s">
        <v>22</v>
      </c>
      <c r="F61" s="39" t="s">
        <v>23</v>
      </c>
      <c r="G61" s="41" t="s">
        <v>133</v>
      </c>
      <c r="H61" s="42" t="s">
        <v>111</v>
      </c>
      <c r="I61" s="41" t="s">
        <v>47</v>
      </c>
      <c r="J61" s="42"/>
      <c r="K61" s="41" t="s">
        <v>89</v>
      </c>
      <c r="L61" s="42" t="s">
        <v>96</v>
      </c>
      <c r="M61" s="42" t="s">
        <v>96</v>
      </c>
      <c r="N61" s="42"/>
      <c r="O61" s="41" t="s">
        <v>196</v>
      </c>
      <c r="P61" s="41" t="s">
        <v>245</v>
      </c>
      <c r="Q61" s="41" t="s">
        <v>25</v>
      </c>
      <c r="R61" s="42"/>
      <c r="S61" s="43" t="str">
        <f>"460,0"</f>
        <v>460,0</v>
      </c>
      <c r="T61" s="44" t="str">
        <f>"247,0660"</f>
        <v>247,0660</v>
      </c>
      <c r="U61" s="39" t="s">
        <v>33</v>
      </c>
    </row>
    <row r="62" spans="1:21" x14ac:dyDescent="0.2">
      <c r="A62" s="39" t="s">
        <v>247</v>
      </c>
      <c r="B62" s="39" t="s">
        <v>248</v>
      </c>
      <c r="C62" s="39" t="s">
        <v>249</v>
      </c>
      <c r="D62" s="40" t="str">
        <f>"0,5399"</f>
        <v>0,5399</v>
      </c>
      <c r="E62" s="39" t="s">
        <v>117</v>
      </c>
      <c r="F62" s="39" t="s">
        <v>118</v>
      </c>
      <c r="G62" s="41" t="s">
        <v>27</v>
      </c>
      <c r="H62" s="41" t="s">
        <v>45</v>
      </c>
      <c r="I62" s="41" t="s">
        <v>28</v>
      </c>
      <c r="J62" s="42"/>
      <c r="K62" s="41" t="s">
        <v>110</v>
      </c>
      <c r="L62" s="41" t="s">
        <v>111</v>
      </c>
      <c r="M62" s="41" t="s">
        <v>176</v>
      </c>
      <c r="N62" s="42"/>
      <c r="O62" s="41" t="s">
        <v>28</v>
      </c>
      <c r="P62" s="41" t="s">
        <v>46</v>
      </c>
      <c r="Q62" s="41" t="s">
        <v>55</v>
      </c>
      <c r="R62" s="42"/>
      <c r="S62" s="43" t="str">
        <f>"520,0"</f>
        <v>520,0</v>
      </c>
      <c r="T62" s="44" t="str">
        <f>"281,5902"</f>
        <v>281,5902</v>
      </c>
      <c r="U62" s="39" t="s">
        <v>126</v>
      </c>
    </row>
    <row r="63" spans="1:21" x14ac:dyDescent="0.2">
      <c r="A63" s="17" t="s">
        <v>242</v>
      </c>
      <c r="B63" s="17" t="s">
        <v>250</v>
      </c>
      <c r="C63" s="17" t="s">
        <v>244</v>
      </c>
      <c r="D63" s="18" t="str">
        <f>"0,5371"</f>
        <v>0,5371</v>
      </c>
      <c r="E63" s="17" t="s">
        <v>22</v>
      </c>
      <c r="F63" s="17" t="s">
        <v>23</v>
      </c>
      <c r="G63" s="19" t="s">
        <v>133</v>
      </c>
      <c r="H63" s="20" t="s">
        <v>111</v>
      </c>
      <c r="I63" s="19" t="s">
        <v>47</v>
      </c>
      <c r="J63" s="20"/>
      <c r="K63" s="19" t="s">
        <v>89</v>
      </c>
      <c r="L63" s="20" t="s">
        <v>96</v>
      </c>
      <c r="M63" s="20" t="s">
        <v>96</v>
      </c>
      <c r="N63" s="20"/>
      <c r="O63" s="19" t="s">
        <v>196</v>
      </c>
      <c r="P63" s="19" t="s">
        <v>245</v>
      </c>
      <c r="Q63" s="19" t="s">
        <v>25</v>
      </c>
      <c r="R63" s="20"/>
      <c r="S63" s="21" t="str">
        <f>"460,0"</f>
        <v>460,0</v>
      </c>
      <c r="T63" s="22" t="str">
        <f>"249,2896"</f>
        <v>249,2896</v>
      </c>
      <c r="U63" s="17" t="s">
        <v>33</v>
      </c>
    </row>
    <row r="65" spans="1:21" ht="15" x14ac:dyDescent="0.2">
      <c r="A65" s="83" t="s">
        <v>50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21" x14ac:dyDescent="0.2">
      <c r="A66" s="11" t="s">
        <v>252</v>
      </c>
      <c r="B66" s="11" t="s">
        <v>253</v>
      </c>
      <c r="C66" s="11" t="s">
        <v>254</v>
      </c>
      <c r="D66" s="12" t="str">
        <f>"0,5266"</f>
        <v>0,5266</v>
      </c>
      <c r="E66" s="11" t="s">
        <v>117</v>
      </c>
      <c r="F66" s="11" t="s">
        <v>118</v>
      </c>
      <c r="G66" s="13" t="s">
        <v>245</v>
      </c>
      <c r="H66" s="13" t="s">
        <v>25</v>
      </c>
      <c r="I66" s="13" t="s">
        <v>26</v>
      </c>
      <c r="J66" s="14"/>
      <c r="K66" s="13" t="s">
        <v>29</v>
      </c>
      <c r="L66" s="13" t="s">
        <v>196</v>
      </c>
      <c r="M66" s="13" t="s">
        <v>55</v>
      </c>
      <c r="N66" s="14"/>
      <c r="O66" s="13" t="s">
        <v>255</v>
      </c>
      <c r="P66" s="13" t="s">
        <v>256</v>
      </c>
      <c r="Q66" s="14"/>
      <c r="R66" s="14"/>
      <c r="S66" s="15" t="str">
        <f>"735,0"</f>
        <v>735,0</v>
      </c>
      <c r="T66" s="16" t="str">
        <f>"387,0510"</f>
        <v>387,0510</v>
      </c>
      <c r="U66" s="11" t="s">
        <v>126</v>
      </c>
    </row>
    <row r="67" spans="1:21" x14ac:dyDescent="0.2">
      <c r="A67" s="17" t="s">
        <v>258</v>
      </c>
      <c r="B67" s="17" t="s">
        <v>259</v>
      </c>
      <c r="C67" s="17" t="s">
        <v>260</v>
      </c>
      <c r="D67" s="18" t="str">
        <f>"0,5270"</f>
        <v>0,5270</v>
      </c>
      <c r="E67" s="17" t="s">
        <v>117</v>
      </c>
      <c r="F67" s="17" t="s">
        <v>118</v>
      </c>
      <c r="G67" s="20" t="s">
        <v>188</v>
      </c>
      <c r="H67" s="19" t="s">
        <v>188</v>
      </c>
      <c r="I67" s="20" t="s">
        <v>245</v>
      </c>
      <c r="J67" s="20"/>
      <c r="K67" s="19" t="s">
        <v>27</v>
      </c>
      <c r="L67" s="20" t="s">
        <v>45</v>
      </c>
      <c r="M67" s="20" t="s">
        <v>45</v>
      </c>
      <c r="N67" s="20"/>
      <c r="O67" s="19" t="s">
        <v>28</v>
      </c>
      <c r="P67" s="20"/>
      <c r="Q67" s="20"/>
      <c r="R67" s="20"/>
      <c r="S67" s="21" t="str">
        <f>"550,0"</f>
        <v>550,0</v>
      </c>
      <c r="T67" s="22" t="str">
        <f>"323,7625"</f>
        <v>323,7625</v>
      </c>
      <c r="U67" s="17" t="s">
        <v>126</v>
      </c>
    </row>
    <row r="69" spans="1:21" ht="15" x14ac:dyDescent="0.2">
      <c r="A69" s="83" t="s">
        <v>261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21" x14ac:dyDescent="0.2">
      <c r="A70" s="23" t="s">
        <v>263</v>
      </c>
      <c r="B70" s="23" t="s">
        <v>264</v>
      </c>
      <c r="C70" s="23" t="s">
        <v>265</v>
      </c>
      <c r="D70" s="24" t="str">
        <f>"0,5126"</f>
        <v>0,5126</v>
      </c>
      <c r="E70" s="23" t="s">
        <v>117</v>
      </c>
      <c r="F70" s="23" t="s">
        <v>118</v>
      </c>
      <c r="G70" s="25" t="s">
        <v>223</v>
      </c>
      <c r="H70" s="26" t="s">
        <v>32</v>
      </c>
      <c r="I70" s="25" t="s">
        <v>32</v>
      </c>
      <c r="J70" s="26"/>
      <c r="K70" s="25" t="s">
        <v>27</v>
      </c>
      <c r="L70" s="25" t="s">
        <v>45</v>
      </c>
      <c r="M70" s="26" t="s">
        <v>28</v>
      </c>
      <c r="N70" s="26"/>
      <c r="O70" s="25" t="s">
        <v>223</v>
      </c>
      <c r="P70" s="25" t="s">
        <v>32</v>
      </c>
      <c r="Q70" s="26"/>
      <c r="R70" s="26"/>
      <c r="S70" s="27" t="str">
        <f>"710,0"</f>
        <v>710,0</v>
      </c>
      <c r="T70" s="28" t="str">
        <f>"363,9460"</f>
        <v>363,9460</v>
      </c>
      <c r="U70" s="23" t="s">
        <v>126</v>
      </c>
    </row>
    <row r="72" spans="1:21" ht="15" x14ac:dyDescent="0.2">
      <c r="E72" s="29" t="s">
        <v>57</v>
      </c>
    </row>
    <row r="73" spans="1:21" ht="15" x14ac:dyDescent="0.2">
      <c r="E73" s="29" t="s">
        <v>58</v>
      </c>
    </row>
    <row r="74" spans="1:21" ht="15" x14ac:dyDescent="0.2">
      <c r="E74" s="29" t="s">
        <v>59</v>
      </c>
    </row>
    <row r="75" spans="1:21" ht="15" x14ac:dyDescent="0.2">
      <c r="E75" s="29" t="s">
        <v>60</v>
      </c>
    </row>
    <row r="76" spans="1:21" ht="15" x14ac:dyDescent="0.2">
      <c r="E76" s="29" t="s">
        <v>60</v>
      </c>
    </row>
    <row r="77" spans="1:21" ht="15" x14ac:dyDescent="0.2">
      <c r="E77" s="29" t="s">
        <v>61</v>
      </c>
    </row>
    <row r="78" spans="1:21" ht="15" x14ac:dyDescent="0.2">
      <c r="E78" s="29"/>
    </row>
    <row r="80" spans="1:21" ht="18" x14ac:dyDescent="0.25">
      <c r="A80" s="30" t="s">
        <v>62</v>
      </c>
      <c r="B80" s="30"/>
    </row>
    <row r="81" spans="1:5" ht="15" x14ac:dyDescent="0.2">
      <c r="A81" s="31" t="s">
        <v>266</v>
      </c>
      <c r="B81" s="31"/>
    </row>
    <row r="82" spans="1:5" ht="14.25" x14ac:dyDescent="0.2">
      <c r="A82" s="33"/>
      <c r="B82" s="34" t="s">
        <v>267</v>
      </c>
    </row>
    <row r="83" spans="1:5" ht="15" x14ac:dyDescent="0.2">
      <c r="A83" s="35" t="s">
        <v>65</v>
      </c>
      <c r="B83" s="35" t="s">
        <v>66</v>
      </c>
      <c r="C83" s="35" t="s">
        <v>67</v>
      </c>
      <c r="D83" s="36" t="s">
        <v>68</v>
      </c>
      <c r="E83" s="35" t="s">
        <v>69</v>
      </c>
    </row>
    <row r="84" spans="1:5" x14ac:dyDescent="0.2">
      <c r="A84" s="32" t="s">
        <v>113</v>
      </c>
      <c r="B84" s="4" t="s">
        <v>268</v>
      </c>
      <c r="C84" s="4" t="s">
        <v>269</v>
      </c>
      <c r="D84" s="37">
        <v>205</v>
      </c>
      <c r="E84" s="38">
        <v>198.240326705575</v>
      </c>
    </row>
    <row r="86" spans="1:5" ht="14.25" x14ac:dyDescent="0.2">
      <c r="A86" s="33"/>
      <c r="B86" s="34" t="s">
        <v>64</v>
      </c>
    </row>
    <row r="87" spans="1:5" ht="15" x14ac:dyDescent="0.2">
      <c r="A87" s="35" t="s">
        <v>65</v>
      </c>
      <c r="B87" s="35" t="s">
        <v>66</v>
      </c>
      <c r="C87" s="35" t="s">
        <v>67</v>
      </c>
      <c r="D87" s="36" t="s">
        <v>68</v>
      </c>
      <c r="E87" s="35" t="s">
        <v>69</v>
      </c>
    </row>
    <row r="88" spans="1:5" x14ac:dyDescent="0.2">
      <c r="A88" s="32" t="s">
        <v>92</v>
      </c>
      <c r="B88" s="4" t="s">
        <v>64</v>
      </c>
      <c r="C88" s="4" t="s">
        <v>270</v>
      </c>
      <c r="D88" s="37">
        <v>335</v>
      </c>
      <c r="E88" s="38">
        <v>288.40149492025398</v>
      </c>
    </row>
    <row r="89" spans="1:5" x14ac:dyDescent="0.2">
      <c r="A89" s="32" t="s">
        <v>122</v>
      </c>
      <c r="B89" s="4" t="s">
        <v>64</v>
      </c>
      <c r="C89" s="4" t="s">
        <v>271</v>
      </c>
      <c r="D89" s="37">
        <v>235</v>
      </c>
      <c r="E89" s="38">
        <v>169.658248722553</v>
      </c>
    </row>
    <row r="90" spans="1:5" x14ac:dyDescent="0.2">
      <c r="A90" s="32" t="s">
        <v>113</v>
      </c>
      <c r="B90" s="4" t="s">
        <v>64</v>
      </c>
      <c r="C90" s="4" t="s">
        <v>269</v>
      </c>
      <c r="D90" s="37">
        <v>205</v>
      </c>
      <c r="E90" s="38">
        <v>161.170997321606</v>
      </c>
    </row>
    <row r="91" spans="1:5" x14ac:dyDescent="0.2">
      <c r="A91" s="32" t="s">
        <v>128</v>
      </c>
      <c r="B91" s="4" t="s">
        <v>64</v>
      </c>
      <c r="C91" s="4" t="s">
        <v>272</v>
      </c>
      <c r="D91" s="37">
        <v>287.5</v>
      </c>
      <c r="E91" s="38">
        <v>159.433122724295</v>
      </c>
    </row>
    <row r="92" spans="1:5" x14ac:dyDescent="0.2">
      <c r="A92" s="32" t="s">
        <v>77</v>
      </c>
      <c r="B92" s="4" t="s">
        <v>64</v>
      </c>
      <c r="C92" s="4" t="s">
        <v>273</v>
      </c>
      <c r="D92" s="37">
        <v>162.5</v>
      </c>
      <c r="E92" s="38">
        <v>153.64375263452499</v>
      </c>
    </row>
    <row r="94" spans="1:5" ht="14.25" x14ac:dyDescent="0.2">
      <c r="A94" s="33"/>
      <c r="B94" s="34" t="s">
        <v>73</v>
      </c>
    </row>
    <row r="95" spans="1:5" ht="15" x14ac:dyDescent="0.2">
      <c r="A95" s="35" t="s">
        <v>65</v>
      </c>
      <c r="B95" s="35" t="s">
        <v>66</v>
      </c>
      <c r="C95" s="35" t="s">
        <v>67</v>
      </c>
      <c r="D95" s="36" t="s">
        <v>68</v>
      </c>
      <c r="E95" s="35" t="s">
        <v>69</v>
      </c>
    </row>
    <row r="96" spans="1:5" x14ac:dyDescent="0.2">
      <c r="A96" s="32" t="s">
        <v>102</v>
      </c>
      <c r="B96" s="4" t="s">
        <v>274</v>
      </c>
      <c r="C96" s="4" t="s">
        <v>270</v>
      </c>
      <c r="D96" s="37">
        <v>265</v>
      </c>
      <c r="E96" s="38">
        <v>326.23804925382098</v>
      </c>
    </row>
    <row r="97" spans="1:5" x14ac:dyDescent="0.2">
      <c r="A97" s="32" t="s">
        <v>77</v>
      </c>
      <c r="B97" s="4" t="s">
        <v>275</v>
      </c>
      <c r="C97" s="4" t="s">
        <v>273</v>
      </c>
      <c r="D97" s="37">
        <v>162.5</v>
      </c>
      <c r="E97" s="38">
        <v>175.76845301389699</v>
      </c>
    </row>
    <row r="98" spans="1:5" x14ac:dyDescent="0.2">
      <c r="A98" s="32" t="s">
        <v>128</v>
      </c>
      <c r="B98" s="4" t="s">
        <v>74</v>
      </c>
      <c r="C98" s="4" t="s">
        <v>272</v>
      </c>
      <c r="D98" s="37">
        <v>287.5</v>
      </c>
      <c r="E98" s="38">
        <v>164.375549528748</v>
      </c>
    </row>
    <row r="101" spans="1:5" ht="15" x14ac:dyDescent="0.2">
      <c r="A101" s="31" t="s">
        <v>63</v>
      </c>
      <c r="B101" s="31"/>
    </row>
    <row r="102" spans="1:5" ht="14.25" x14ac:dyDescent="0.2">
      <c r="A102" s="33"/>
      <c r="B102" s="34" t="s">
        <v>276</v>
      </c>
    </row>
    <row r="103" spans="1:5" ht="15" x14ac:dyDescent="0.2">
      <c r="A103" s="35" t="s">
        <v>65</v>
      </c>
      <c r="B103" s="35" t="s">
        <v>66</v>
      </c>
      <c r="C103" s="35" t="s">
        <v>67</v>
      </c>
      <c r="D103" s="36" t="s">
        <v>68</v>
      </c>
      <c r="E103" s="35" t="s">
        <v>69</v>
      </c>
    </row>
    <row r="104" spans="1:5" x14ac:dyDescent="0.2">
      <c r="A104" s="32" t="s">
        <v>158</v>
      </c>
      <c r="B104" s="4" t="s">
        <v>277</v>
      </c>
      <c r="C104" s="4" t="s">
        <v>271</v>
      </c>
      <c r="D104" s="37">
        <v>352.5</v>
      </c>
      <c r="E104" s="38">
        <v>285.63285936713203</v>
      </c>
    </row>
    <row r="105" spans="1:5" x14ac:dyDescent="0.2">
      <c r="A105" s="32" t="s">
        <v>152</v>
      </c>
      <c r="B105" s="4" t="s">
        <v>278</v>
      </c>
      <c r="C105" s="4" t="s">
        <v>269</v>
      </c>
      <c r="D105" s="37">
        <v>360</v>
      </c>
      <c r="E105" s="38">
        <v>279.97991137504602</v>
      </c>
    </row>
    <row r="106" spans="1:5" x14ac:dyDescent="0.2">
      <c r="A106" s="32" t="s">
        <v>210</v>
      </c>
      <c r="B106" s="4" t="s">
        <v>268</v>
      </c>
      <c r="C106" s="4" t="s">
        <v>70</v>
      </c>
      <c r="D106" s="37">
        <v>390</v>
      </c>
      <c r="E106" s="38">
        <v>272.37365300059298</v>
      </c>
    </row>
    <row r="107" spans="1:5" x14ac:dyDescent="0.2">
      <c r="A107" s="32" t="s">
        <v>214</v>
      </c>
      <c r="B107" s="4" t="s">
        <v>278</v>
      </c>
      <c r="C107" s="4" t="s">
        <v>70</v>
      </c>
      <c r="D107" s="37">
        <v>450</v>
      </c>
      <c r="E107" s="38">
        <v>271.60380595922499</v>
      </c>
    </row>
    <row r="108" spans="1:5" x14ac:dyDescent="0.2">
      <c r="A108" s="32" t="s">
        <v>148</v>
      </c>
      <c r="B108" s="4" t="s">
        <v>279</v>
      </c>
      <c r="C108" s="4" t="s">
        <v>269</v>
      </c>
      <c r="D108" s="37">
        <v>330</v>
      </c>
      <c r="E108" s="38">
        <v>258.67511208057402</v>
      </c>
    </row>
    <row r="109" spans="1:5" x14ac:dyDescent="0.2">
      <c r="A109" s="32" t="s">
        <v>163</v>
      </c>
      <c r="B109" s="4" t="s">
        <v>279</v>
      </c>
      <c r="C109" s="4" t="s">
        <v>271</v>
      </c>
      <c r="D109" s="37">
        <v>337.5</v>
      </c>
      <c r="E109" s="38">
        <v>248.88059815764399</v>
      </c>
    </row>
    <row r="110" spans="1:5" x14ac:dyDescent="0.2">
      <c r="A110" s="32" t="s">
        <v>172</v>
      </c>
      <c r="B110" s="4" t="s">
        <v>279</v>
      </c>
      <c r="C110" s="4" t="s">
        <v>280</v>
      </c>
      <c r="D110" s="37">
        <v>315</v>
      </c>
      <c r="E110" s="38">
        <v>215.312579870224</v>
      </c>
    </row>
    <row r="111" spans="1:5" x14ac:dyDescent="0.2">
      <c r="A111" s="32" t="s">
        <v>144</v>
      </c>
      <c r="B111" s="4" t="s">
        <v>268</v>
      </c>
      <c r="C111" s="4" t="s">
        <v>269</v>
      </c>
      <c r="D111" s="37">
        <v>222.5</v>
      </c>
      <c r="E111" s="38">
        <v>198.63330891877399</v>
      </c>
    </row>
    <row r="113" spans="1:5" ht="14.25" x14ac:dyDescent="0.2">
      <c r="A113" s="33"/>
      <c r="B113" s="34" t="s">
        <v>281</v>
      </c>
    </row>
    <row r="114" spans="1:5" ht="15" x14ac:dyDescent="0.2">
      <c r="A114" s="35" t="s">
        <v>65</v>
      </c>
      <c r="B114" s="35" t="s">
        <v>66</v>
      </c>
      <c r="C114" s="35" t="s">
        <v>67</v>
      </c>
      <c r="D114" s="36" t="s">
        <v>68</v>
      </c>
      <c r="E114" s="35" t="s">
        <v>69</v>
      </c>
    </row>
    <row r="115" spans="1:5" x14ac:dyDescent="0.2">
      <c r="A115" s="32" t="s">
        <v>177</v>
      </c>
      <c r="B115" s="4" t="s">
        <v>282</v>
      </c>
      <c r="C115" s="4" t="s">
        <v>280</v>
      </c>
      <c r="D115" s="37">
        <v>445</v>
      </c>
      <c r="E115" s="38">
        <v>287.54564090967199</v>
      </c>
    </row>
    <row r="116" spans="1:5" x14ac:dyDescent="0.2">
      <c r="A116" s="32" t="s">
        <v>232</v>
      </c>
      <c r="B116" s="4" t="s">
        <v>282</v>
      </c>
      <c r="C116" s="4" t="s">
        <v>72</v>
      </c>
      <c r="D116" s="37">
        <v>300</v>
      </c>
      <c r="E116" s="38">
        <v>169.23929625749599</v>
      </c>
    </row>
    <row r="118" spans="1:5" ht="14.25" x14ac:dyDescent="0.2">
      <c r="A118" s="33"/>
      <c r="B118" s="34" t="s">
        <v>64</v>
      </c>
    </row>
    <row r="119" spans="1:5" ht="15" x14ac:dyDescent="0.2">
      <c r="A119" s="35" t="s">
        <v>65</v>
      </c>
      <c r="B119" s="35" t="s">
        <v>66</v>
      </c>
      <c r="C119" s="35" t="s">
        <v>67</v>
      </c>
      <c r="D119" s="36" t="s">
        <v>68</v>
      </c>
      <c r="E119" s="35" t="s">
        <v>69</v>
      </c>
    </row>
    <row r="120" spans="1:5" x14ac:dyDescent="0.2">
      <c r="A120" s="32" t="s">
        <v>251</v>
      </c>
      <c r="B120" s="4" t="s">
        <v>64</v>
      </c>
      <c r="C120" s="4" t="s">
        <v>71</v>
      </c>
      <c r="D120" s="37">
        <v>735</v>
      </c>
      <c r="E120" s="38">
        <v>387.051002383232</v>
      </c>
    </row>
    <row r="121" spans="1:5" x14ac:dyDescent="0.2">
      <c r="A121" s="32" t="s">
        <v>219</v>
      </c>
      <c r="B121" s="4" t="s">
        <v>64</v>
      </c>
      <c r="C121" s="4" t="s">
        <v>70</v>
      </c>
      <c r="D121" s="37">
        <v>645</v>
      </c>
      <c r="E121" s="38">
        <v>367.26300805807102</v>
      </c>
    </row>
    <row r="122" spans="1:5" x14ac:dyDescent="0.2">
      <c r="A122" s="32" t="s">
        <v>262</v>
      </c>
      <c r="B122" s="4" t="s">
        <v>64</v>
      </c>
      <c r="C122" s="4" t="s">
        <v>283</v>
      </c>
      <c r="D122" s="37">
        <v>710</v>
      </c>
      <c r="E122" s="38">
        <v>363.946003317833</v>
      </c>
    </row>
    <row r="123" spans="1:5" x14ac:dyDescent="0.2">
      <c r="A123" s="32" t="s">
        <v>184</v>
      </c>
      <c r="B123" s="4" t="s">
        <v>64</v>
      </c>
      <c r="C123" s="4" t="s">
        <v>284</v>
      </c>
      <c r="D123" s="37">
        <v>540</v>
      </c>
      <c r="E123" s="38">
        <v>316.493990421295</v>
      </c>
    </row>
    <row r="124" spans="1:5" x14ac:dyDescent="0.2">
      <c r="A124" s="32" t="s">
        <v>190</v>
      </c>
      <c r="B124" s="4" t="s">
        <v>64</v>
      </c>
      <c r="C124" s="4" t="s">
        <v>284</v>
      </c>
      <c r="D124" s="37">
        <v>530</v>
      </c>
      <c r="E124" s="38">
        <v>311.69300854206102</v>
      </c>
    </row>
    <row r="125" spans="1:5" x14ac:dyDescent="0.2">
      <c r="A125" s="32" t="s">
        <v>200</v>
      </c>
      <c r="B125" s="4" t="s">
        <v>64</v>
      </c>
      <c r="C125" s="4" t="s">
        <v>284</v>
      </c>
      <c r="D125" s="37">
        <v>485</v>
      </c>
      <c r="E125" s="38">
        <v>283.87051373720197</v>
      </c>
    </row>
    <row r="126" spans="1:5" x14ac:dyDescent="0.2">
      <c r="A126" s="32" t="s">
        <v>177</v>
      </c>
      <c r="B126" s="4" t="s">
        <v>64</v>
      </c>
      <c r="C126" s="4" t="s">
        <v>280</v>
      </c>
      <c r="D126" s="37">
        <v>445</v>
      </c>
      <c r="E126" s="38">
        <v>281.90749108791402</v>
      </c>
    </row>
    <row r="127" spans="1:5" x14ac:dyDescent="0.2">
      <c r="A127" s="32" t="s">
        <v>236</v>
      </c>
      <c r="B127" s="4" t="s">
        <v>64</v>
      </c>
      <c r="C127" s="4" t="s">
        <v>72</v>
      </c>
      <c r="D127" s="37">
        <v>495</v>
      </c>
      <c r="E127" s="38">
        <v>266.4090102911</v>
      </c>
    </row>
    <row r="128" spans="1:5" x14ac:dyDescent="0.2">
      <c r="A128" s="32" t="s">
        <v>152</v>
      </c>
      <c r="B128" s="4" t="s">
        <v>64</v>
      </c>
      <c r="C128" s="4" t="s">
        <v>269</v>
      </c>
      <c r="D128" s="37">
        <v>360</v>
      </c>
      <c r="E128" s="38">
        <v>264.13199186325102</v>
      </c>
    </row>
    <row r="129" spans="1:5" x14ac:dyDescent="0.2">
      <c r="A129" s="32" t="s">
        <v>214</v>
      </c>
      <c r="B129" s="4" t="s">
        <v>64</v>
      </c>
      <c r="C129" s="4" t="s">
        <v>70</v>
      </c>
      <c r="D129" s="37">
        <v>450</v>
      </c>
      <c r="E129" s="38">
        <v>256.23000562190998</v>
      </c>
    </row>
    <row r="130" spans="1:5" x14ac:dyDescent="0.2">
      <c r="A130" s="32" t="s">
        <v>227</v>
      </c>
      <c r="B130" s="4" t="s">
        <v>64</v>
      </c>
      <c r="C130" s="4" t="s">
        <v>70</v>
      </c>
      <c r="D130" s="37">
        <v>435</v>
      </c>
      <c r="E130" s="38">
        <v>247.68900543451301</v>
      </c>
    </row>
    <row r="131" spans="1:5" x14ac:dyDescent="0.2">
      <c r="A131" s="32" t="s">
        <v>241</v>
      </c>
      <c r="B131" s="4" t="s">
        <v>64</v>
      </c>
      <c r="C131" s="4" t="s">
        <v>72</v>
      </c>
      <c r="D131" s="37">
        <v>460</v>
      </c>
      <c r="E131" s="38">
        <v>247.06600785255401</v>
      </c>
    </row>
    <row r="132" spans="1:5" x14ac:dyDescent="0.2">
      <c r="A132" s="32" t="s">
        <v>158</v>
      </c>
      <c r="B132" s="4" t="s">
        <v>64</v>
      </c>
      <c r="C132" s="4" t="s">
        <v>271</v>
      </c>
      <c r="D132" s="37">
        <v>352.5</v>
      </c>
      <c r="E132" s="38">
        <v>242.06174522638301</v>
      </c>
    </row>
    <row r="133" spans="1:5" x14ac:dyDescent="0.2">
      <c r="A133" s="32" t="s">
        <v>135</v>
      </c>
      <c r="B133" s="4" t="s">
        <v>64</v>
      </c>
      <c r="C133" s="4" t="s">
        <v>270</v>
      </c>
      <c r="D133" s="37">
        <v>242.5</v>
      </c>
      <c r="E133" s="38">
        <v>198.825744241476</v>
      </c>
    </row>
    <row r="135" spans="1:5" ht="14.25" x14ac:dyDescent="0.2">
      <c r="A135" s="33"/>
      <c r="B135" s="34" t="s">
        <v>73</v>
      </c>
    </row>
    <row r="136" spans="1:5" ht="15" x14ac:dyDescent="0.2">
      <c r="A136" s="35" t="s">
        <v>65</v>
      </c>
      <c r="B136" s="35" t="s">
        <v>66</v>
      </c>
      <c r="C136" s="35" t="s">
        <v>67</v>
      </c>
      <c r="D136" s="36" t="s">
        <v>68</v>
      </c>
      <c r="E136" s="35" t="s">
        <v>69</v>
      </c>
    </row>
    <row r="137" spans="1:5" x14ac:dyDescent="0.2">
      <c r="A137" s="32" t="s">
        <v>200</v>
      </c>
      <c r="B137" s="4" t="s">
        <v>274</v>
      </c>
      <c r="C137" s="4" t="s">
        <v>284</v>
      </c>
      <c r="D137" s="37">
        <v>485</v>
      </c>
      <c r="E137" s="38">
        <v>391.74130895733799</v>
      </c>
    </row>
    <row r="138" spans="1:5" x14ac:dyDescent="0.2">
      <c r="A138" s="32" t="s">
        <v>257</v>
      </c>
      <c r="B138" s="4" t="s">
        <v>275</v>
      </c>
      <c r="C138" s="4" t="s">
        <v>71</v>
      </c>
      <c r="D138" s="37">
        <v>550</v>
      </c>
      <c r="E138" s="38">
        <v>323.76245615184303</v>
      </c>
    </row>
    <row r="139" spans="1:5" x14ac:dyDescent="0.2">
      <c r="A139" s="32" t="s">
        <v>227</v>
      </c>
      <c r="B139" s="4" t="s">
        <v>275</v>
      </c>
      <c r="C139" s="4" t="s">
        <v>70</v>
      </c>
      <c r="D139" s="37">
        <v>435</v>
      </c>
      <c r="E139" s="38">
        <v>283.35622221708297</v>
      </c>
    </row>
    <row r="140" spans="1:5" x14ac:dyDescent="0.2">
      <c r="A140" s="32" t="s">
        <v>246</v>
      </c>
      <c r="B140" s="4" t="s">
        <v>74</v>
      </c>
      <c r="C140" s="4" t="s">
        <v>72</v>
      </c>
      <c r="D140" s="37">
        <v>520</v>
      </c>
      <c r="E140" s="38">
        <v>281.59024653673202</v>
      </c>
    </row>
    <row r="141" spans="1:5" x14ac:dyDescent="0.2">
      <c r="A141" s="32" t="s">
        <v>204</v>
      </c>
      <c r="B141" s="4" t="s">
        <v>74</v>
      </c>
      <c r="C141" s="4" t="s">
        <v>284</v>
      </c>
      <c r="D141" s="37">
        <v>460</v>
      </c>
      <c r="E141" s="38">
        <v>278.29879091501198</v>
      </c>
    </row>
    <row r="142" spans="1:5" x14ac:dyDescent="0.2">
      <c r="A142" s="32" t="s">
        <v>241</v>
      </c>
      <c r="B142" s="4" t="s">
        <v>74</v>
      </c>
      <c r="C142" s="4" t="s">
        <v>72</v>
      </c>
      <c r="D142" s="37">
        <v>460</v>
      </c>
      <c r="E142" s="38">
        <v>249.289601923227</v>
      </c>
    </row>
  </sheetData>
  <mergeCells count="27">
    <mergeCell ref="A69:R69"/>
    <mergeCell ref="A33:R33"/>
    <mergeCell ref="A38:R38"/>
    <mergeCell ref="A43:R43"/>
    <mergeCell ref="A50:R50"/>
    <mergeCell ref="A58:R58"/>
    <mergeCell ref="A65:R65"/>
    <mergeCell ref="A27:R27"/>
    <mergeCell ref="S3:S4"/>
    <mergeCell ref="T3:T4"/>
    <mergeCell ref="U3:U4"/>
    <mergeCell ref="A5:R5"/>
    <mergeCell ref="A9:R9"/>
    <mergeCell ref="A13:R13"/>
    <mergeCell ref="A17:R17"/>
    <mergeCell ref="A20:R20"/>
    <mergeCell ref="A24:R2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3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.42578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9" bestFit="1" customWidth="1"/>
    <col min="21" max="21" width="15.28515625" style="4" bestFit="1" customWidth="1"/>
    <col min="22" max="16384" width="9.140625" style="3"/>
  </cols>
  <sheetData>
    <row r="1" spans="1:21" s="2" customFormat="1" ht="29.1" customHeight="1" x14ac:dyDescent="0.2">
      <c r="A1" s="82" t="s">
        <v>12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14</v>
      </c>
      <c r="H3" s="77"/>
      <c r="I3" s="77"/>
      <c r="J3" s="77"/>
      <c r="K3" s="77" t="s">
        <v>15</v>
      </c>
      <c r="L3" s="77"/>
      <c r="M3" s="77"/>
      <c r="N3" s="77"/>
      <c r="O3" s="77" t="s">
        <v>16</v>
      </c>
      <c r="P3" s="77"/>
      <c r="Q3" s="77"/>
      <c r="R3" s="77"/>
      <c r="S3" s="75" t="s">
        <v>1</v>
      </c>
      <c r="T3" s="75" t="s">
        <v>3</v>
      </c>
      <c r="U3" s="78" t="s">
        <v>2</v>
      </c>
    </row>
    <row r="4" spans="1:21" s="1" customFormat="1" ht="21" customHeight="1" thickBot="1" x14ac:dyDescent="0.25">
      <c r="A4" s="72"/>
      <c r="B4" s="74"/>
      <c r="C4" s="74"/>
      <c r="D4" s="76"/>
      <c r="E4" s="74"/>
      <c r="F4" s="74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76"/>
      <c r="T4" s="76"/>
      <c r="U4" s="79"/>
    </row>
    <row r="5" spans="1:21" ht="15" x14ac:dyDescent="0.2">
      <c r="A5" s="80" t="s">
        <v>17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1" x14ac:dyDescent="0.2">
      <c r="A6" s="11" t="s">
        <v>19</v>
      </c>
      <c r="B6" s="11" t="s">
        <v>20</v>
      </c>
      <c r="C6" s="11" t="s">
        <v>21</v>
      </c>
      <c r="D6" s="12" t="str">
        <f>"0,5624"</f>
        <v>0,5624</v>
      </c>
      <c r="E6" s="11" t="s">
        <v>22</v>
      </c>
      <c r="F6" s="11" t="s">
        <v>23</v>
      </c>
      <c r="G6" s="13" t="s">
        <v>24</v>
      </c>
      <c r="H6" s="13" t="s">
        <v>25</v>
      </c>
      <c r="I6" s="13" t="s">
        <v>26</v>
      </c>
      <c r="J6" s="14"/>
      <c r="K6" s="13" t="s">
        <v>27</v>
      </c>
      <c r="L6" s="13" t="s">
        <v>28</v>
      </c>
      <c r="M6" s="13" t="s">
        <v>29</v>
      </c>
      <c r="N6" s="14"/>
      <c r="O6" s="13" t="s">
        <v>30</v>
      </c>
      <c r="P6" s="13" t="s">
        <v>31</v>
      </c>
      <c r="Q6" s="13" t="s">
        <v>32</v>
      </c>
      <c r="R6" s="14"/>
      <c r="S6" s="15" t="str">
        <f>"695,0"</f>
        <v>695,0</v>
      </c>
      <c r="T6" s="16" t="str">
        <f>"390,8680"</f>
        <v>390,8680</v>
      </c>
      <c r="U6" s="11" t="s">
        <v>33</v>
      </c>
    </row>
    <row r="7" spans="1:21" x14ac:dyDescent="0.2">
      <c r="A7" s="17" t="s">
        <v>35</v>
      </c>
      <c r="B7" s="17" t="s">
        <v>36</v>
      </c>
      <c r="C7" s="17" t="s">
        <v>37</v>
      </c>
      <c r="D7" s="18" t="str">
        <f>"0,5581"</f>
        <v>0,5581</v>
      </c>
      <c r="E7" s="17" t="s">
        <v>22</v>
      </c>
      <c r="F7" s="17" t="s">
        <v>23</v>
      </c>
      <c r="G7" s="19" t="s">
        <v>24</v>
      </c>
      <c r="H7" s="19" t="s">
        <v>25</v>
      </c>
      <c r="I7" s="19" t="s">
        <v>26</v>
      </c>
      <c r="J7" s="20"/>
      <c r="K7" s="19" t="s">
        <v>27</v>
      </c>
      <c r="L7" s="20" t="s">
        <v>28</v>
      </c>
      <c r="M7" s="20" t="s">
        <v>28</v>
      </c>
      <c r="N7" s="20"/>
      <c r="O7" s="19" t="s">
        <v>25</v>
      </c>
      <c r="P7" s="19" t="s">
        <v>38</v>
      </c>
      <c r="Q7" s="19" t="s">
        <v>32</v>
      </c>
      <c r="R7" s="20"/>
      <c r="S7" s="21" t="str">
        <f>"670,0"</f>
        <v>670,0</v>
      </c>
      <c r="T7" s="22" t="str">
        <f>"373,9270"</f>
        <v>373,9270</v>
      </c>
      <c r="U7" s="17" t="s">
        <v>33</v>
      </c>
    </row>
    <row r="9" spans="1:21" ht="15" x14ac:dyDescent="0.2">
      <c r="A9" s="83" t="s">
        <v>39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21" x14ac:dyDescent="0.2">
      <c r="A10" s="11" t="s">
        <v>41</v>
      </c>
      <c r="B10" s="11" t="s">
        <v>42</v>
      </c>
      <c r="C10" s="11" t="s">
        <v>43</v>
      </c>
      <c r="D10" s="12" t="str">
        <f>"0,5407"</f>
        <v>0,5407</v>
      </c>
      <c r="E10" s="11" t="s">
        <v>22</v>
      </c>
      <c r="F10" s="11" t="s">
        <v>23</v>
      </c>
      <c r="G10" s="13" t="s">
        <v>44</v>
      </c>
      <c r="H10" s="13" t="s">
        <v>45</v>
      </c>
      <c r="I10" s="13" t="s">
        <v>46</v>
      </c>
      <c r="J10" s="14"/>
      <c r="K10" s="13" t="s">
        <v>47</v>
      </c>
      <c r="L10" s="13" t="s">
        <v>44</v>
      </c>
      <c r="M10" s="13" t="s">
        <v>48</v>
      </c>
      <c r="N10" s="14"/>
      <c r="O10" s="13" t="s">
        <v>46</v>
      </c>
      <c r="P10" s="14"/>
      <c r="Q10" s="14"/>
      <c r="R10" s="14"/>
      <c r="S10" s="15" t="str">
        <f>"545,0"</f>
        <v>545,0</v>
      </c>
      <c r="T10" s="16" t="str">
        <f>"294,6815"</f>
        <v>294,6815</v>
      </c>
      <c r="U10" s="11" t="s">
        <v>33</v>
      </c>
    </row>
    <row r="11" spans="1:21" x14ac:dyDescent="0.2">
      <c r="A11" s="17" t="s">
        <v>41</v>
      </c>
      <c r="B11" s="17" t="s">
        <v>49</v>
      </c>
      <c r="C11" s="17" t="s">
        <v>43</v>
      </c>
      <c r="D11" s="18" t="str">
        <f>"0,5407"</f>
        <v>0,5407</v>
      </c>
      <c r="E11" s="17" t="s">
        <v>22</v>
      </c>
      <c r="F11" s="17" t="s">
        <v>23</v>
      </c>
      <c r="G11" s="19" t="s">
        <v>44</v>
      </c>
      <c r="H11" s="19" t="s">
        <v>45</v>
      </c>
      <c r="I11" s="19" t="s">
        <v>46</v>
      </c>
      <c r="J11" s="20"/>
      <c r="K11" s="19" t="s">
        <v>47</v>
      </c>
      <c r="L11" s="19" t="s">
        <v>44</v>
      </c>
      <c r="M11" s="19" t="s">
        <v>48</v>
      </c>
      <c r="N11" s="20"/>
      <c r="O11" s="19" t="s">
        <v>46</v>
      </c>
      <c r="P11" s="20"/>
      <c r="Q11" s="20"/>
      <c r="R11" s="20"/>
      <c r="S11" s="21" t="str">
        <f>"545,0"</f>
        <v>545,0</v>
      </c>
      <c r="T11" s="22" t="str">
        <f>"303,8166"</f>
        <v>303,8166</v>
      </c>
      <c r="U11" s="17" t="s">
        <v>33</v>
      </c>
    </row>
    <row r="13" spans="1:21" ht="15" x14ac:dyDescent="0.2">
      <c r="A13" s="83" t="s">
        <v>50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21" x14ac:dyDescent="0.2">
      <c r="A14" s="23" t="s">
        <v>52</v>
      </c>
      <c r="B14" s="23" t="s">
        <v>53</v>
      </c>
      <c r="C14" s="23" t="s">
        <v>54</v>
      </c>
      <c r="D14" s="24" t="str">
        <f>"0,5302"</f>
        <v>0,5302</v>
      </c>
      <c r="E14" s="23" t="s">
        <v>22</v>
      </c>
      <c r="F14" s="23" t="s">
        <v>23</v>
      </c>
      <c r="G14" s="25" t="s">
        <v>45</v>
      </c>
      <c r="H14" s="25" t="s">
        <v>29</v>
      </c>
      <c r="I14" s="25" t="s">
        <v>55</v>
      </c>
      <c r="J14" s="26"/>
      <c r="K14" s="25" t="s">
        <v>27</v>
      </c>
      <c r="L14" s="25" t="s">
        <v>56</v>
      </c>
      <c r="M14" s="25" t="s">
        <v>46</v>
      </c>
      <c r="N14" s="26"/>
      <c r="O14" s="25" t="s">
        <v>24</v>
      </c>
      <c r="P14" s="26" t="s">
        <v>30</v>
      </c>
      <c r="Q14" s="25" t="s">
        <v>30</v>
      </c>
      <c r="R14" s="26"/>
      <c r="S14" s="27" t="str">
        <f>"640,0"</f>
        <v>640,0</v>
      </c>
      <c r="T14" s="28" t="str">
        <f>"339,3280"</f>
        <v>339,3280</v>
      </c>
      <c r="U14" s="23" t="s">
        <v>33</v>
      </c>
    </row>
    <row r="16" spans="1:21" ht="15" x14ac:dyDescent="0.2">
      <c r="E16" s="29" t="s">
        <v>57</v>
      </c>
    </row>
    <row r="17" spans="1:5" ht="15" x14ac:dyDescent="0.2">
      <c r="E17" s="29" t="s">
        <v>58</v>
      </c>
    </row>
    <row r="18" spans="1:5" ht="15" x14ac:dyDescent="0.2">
      <c r="E18" s="29" t="s">
        <v>59</v>
      </c>
    </row>
    <row r="19" spans="1:5" ht="15" x14ac:dyDescent="0.2">
      <c r="E19" s="29" t="s">
        <v>60</v>
      </c>
    </row>
    <row r="20" spans="1:5" ht="15" x14ac:dyDescent="0.2">
      <c r="E20" s="29" t="s">
        <v>60</v>
      </c>
    </row>
    <row r="21" spans="1:5" ht="15" x14ac:dyDescent="0.2">
      <c r="E21" s="29" t="s">
        <v>61</v>
      </c>
    </row>
    <row r="22" spans="1:5" ht="15" x14ac:dyDescent="0.2">
      <c r="E22" s="29"/>
    </row>
    <row r="24" spans="1:5" ht="18" x14ac:dyDescent="0.25">
      <c r="A24" s="30" t="s">
        <v>62</v>
      </c>
      <c r="B24" s="30"/>
    </row>
    <row r="25" spans="1:5" ht="15" x14ac:dyDescent="0.2">
      <c r="A25" s="31" t="s">
        <v>63</v>
      </c>
      <c r="B25" s="31"/>
    </row>
    <row r="26" spans="1:5" ht="14.25" x14ac:dyDescent="0.2">
      <c r="A26" s="33"/>
      <c r="B26" s="34" t="s">
        <v>64</v>
      </c>
    </row>
    <row r="27" spans="1:5" ht="15" x14ac:dyDescent="0.2">
      <c r="A27" s="35" t="s">
        <v>65</v>
      </c>
      <c r="B27" s="35" t="s">
        <v>66</v>
      </c>
      <c r="C27" s="35" t="s">
        <v>67</v>
      </c>
      <c r="D27" s="36" t="s">
        <v>68</v>
      </c>
      <c r="E27" s="35" t="s">
        <v>69</v>
      </c>
    </row>
    <row r="28" spans="1:5" x14ac:dyDescent="0.2">
      <c r="A28" s="32" t="s">
        <v>18</v>
      </c>
      <c r="B28" s="4" t="s">
        <v>64</v>
      </c>
      <c r="C28" s="4" t="s">
        <v>70</v>
      </c>
      <c r="D28" s="37">
        <v>695</v>
      </c>
      <c r="E28" s="38">
        <v>390.867988467217</v>
      </c>
    </row>
    <row r="29" spans="1:5" x14ac:dyDescent="0.2">
      <c r="A29" s="32" t="s">
        <v>51</v>
      </c>
      <c r="B29" s="4" t="s">
        <v>64</v>
      </c>
      <c r="C29" s="4" t="s">
        <v>71</v>
      </c>
      <c r="D29" s="37">
        <v>640</v>
      </c>
      <c r="E29" s="38">
        <v>339.32800292968699</v>
      </c>
    </row>
    <row r="30" spans="1:5" x14ac:dyDescent="0.2">
      <c r="A30" s="32" t="s">
        <v>40</v>
      </c>
      <c r="B30" s="4" t="s">
        <v>64</v>
      </c>
      <c r="C30" s="4" t="s">
        <v>72</v>
      </c>
      <c r="D30" s="37">
        <v>545</v>
      </c>
      <c r="E30" s="38">
        <v>294.68151003122301</v>
      </c>
    </row>
    <row r="32" spans="1:5" ht="14.25" x14ac:dyDescent="0.2">
      <c r="A32" s="33"/>
      <c r="B32" s="34" t="s">
        <v>73</v>
      </c>
    </row>
    <row r="33" spans="1:5" ht="15" x14ac:dyDescent="0.2">
      <c r="A33" s="35" t="s">
        <v>65</v>
      </c>
      <c r="B33" s="35" t="s">
        <v>66</v>
      </c>
      <c r="C33" s="35" t="s">
        <v>67</v>
      </c>
      <c r="D33" s="36" t="s">
        <v>68</v>
      </c>
      <c r="E33" s="35" t="s">
        <v>69</v>
      </c>
    </row>
    <row r="34" spans="1:5" x14ac:dyDescent="0.2">
      <c r="A34" s="32" t="s">
        <v>34</v>
      </c>
      <c r="B34" s="4" t="s">
        <v>74</v>
      </c>
      <c r="C34" s="4" t="s">
        <v>70</v>
      </c>
      <c r="D34" s="37">
        <v>670</v>
      </c>
      <c r="E34" s="38">
        <v>373.92699003219599</v>
      </c>
    </row>
    <row r="35" spans="1:5" x14ac:dyDescent="0.2">
      <c r="A35" s="32" t="s">
        <v>40</v>
      </c>
      <c r="B35" s="4" t="s">
        <v>74</v>
      </c>
      <c r="C35" s="4" t="s">
        <v>72</v>
      </c>
      <c r="D35" s="37">
        <v>545</v>
      </c>
      <c r="E35" s="38">
        <v>303.81663684219097</v>
      </c>
    </row>
  </sheetData>
  <mergeCells count="16">
    <mergeCell ref="A5:R5"/>
    <mergeCell ref="A9:R9"/>
    <mergeCell ref="A13:R13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L12" sqref="L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9.5703125" style="9" bestFit="1" customWidth="1"/>
    <col min="11" max="11" width="13.7109375" style="4" bestFit="1" customWidth="1"/>
    <col min="12" max="16384" width="9.140625" style="3"/>
  </cols>
  <sheetData>
    <row r="1" spans="1:12" s="2" customFormat="1" ht="29.1" customHeight="1" x14ac:dyDescent="0.2">
      <c r="A1" s="82" t="s">
        <v>667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2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2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666</v>
      </c>
      <c r="E3" s="77" t="s">
        <v>4</v>
      </c>
      <c r="F3" s="77" t="s">
        <v>8</v>
      </c>
      <c r="G3" s="77" t="s">
        <v>665</v>
      </c>
      <c r="H3" s="77"/>
      <c r="I3" s="75" t="s">
        <v>368</v>
      </c>
      <c r="J3" s="75" t="s">
        <v>3</v>
      </c>
      <c r="K3" s="78" t="s">
        <v>2</v>
      </c>
    </row>
    <row r="4" spans="1:12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2" ht="15" x14ac:dyDescent="0.2">
      <c r="A5" s="80" t="s">
        <v>171</v>
      </c>
      <c r="B5" s="81"/>
      <c r="C5" s="81"/>
      <c r="D5" s="81"/>
      <c r="E5" s="81"/>
      <c r="F5" s="81"/>
      <c r="G5" s="81"/>
      <c r="H5" s="81"/>
    </row>
    <row r="6" spans="1:12" x14ac:dyDescent="0.2">
      <c r="A6" s="46" t="s">
        <v>349</v>
      </c>
      <c r="B6" s="46" t="s">
        <v>350</v>
      </c>
      <c r="C6" s="46" t="s">
        <v>351</v>
      </c>
      <c r="D6" s="47" t="str">
        <f>"0,8211"</f>
        <v>0,8211</v>
      </c>
      <c r="E6" s="46" t="s">
        <v>22</v>
      </c>
      <c r="F6" s="46" t="s">
        <v>240</v>
      </c>
      <c r="G6" s="49" t="s">
        <v>81</v>
      </c>
      <c r="H6" s="49" t="s">
        <v>85</v>
      </c>
      <c r="I6" s="50" t="str">
        <f>"1200,0"</f>
        <v>1200,0</v>
      </c>
      <c r="J6" s="51" t="str">
        <f>"985,3200"</f>
        <v>985,3200</v>
      </c>
      <c r="K6" s="46" t="s">
        <v>353</v>
      </c>
      <c r="L6" s="3" t="s">
        <v>655</v>
      </c>
    </row>
    <row r="8" spans="1:12" ht="15" x14ac:dyDescent="0.2">
      <c r="A8" s="83" t="s">
        <v>183</v>
      </c>
      <c r="B8" s="84"/>
      <c r="C8" s="84"/>
      <c r="D8" s="84"/>
      <c r="E8" s="84"/>
      <c r="F8" s="84"/>
      <c r="G8" s="84"/>
      <c r="H8" s="84"/>
    </row>
    <row r="9" spans="1:12" x14ac:dyDescent="0.2">
      <c r="A9" s="59" t="s">
        <v>663</v>
      </c>
      <c r="B9" s="59" t="s">
        <v>664</v>
      </c>
      <c r="C9" s="59" t="s">
        <v>661</v>
      </c>
      <c r="D9" s="60" t="str">
        <f>"0,7324"</f>
        <v>0,7324</v>
      </c>
      <c r="E9" s="59" t="s">
        <v>660</v>
      </c>
      <c r="F9" s="59" t="s">
        <v>659</v>
      </c>
      <c r="G9" s="61" t="s">
        <v>82</v>
      </c>
      <c r="H9" s="61" t="s">
        <v>106</v>
      </c>
      <c r="I9" s="63" t="str">
        <f>"3825,0"</f>
        <v>3825,0</v>
      </c>
      <c r="J9" s="64" t="str">
        <f>"2801,4300"</f>
        <v>2801,4300</v>
      </c>
      <c r="K9" s="59" t="s">
        <v>658</v>
      </c>
      <c r="L9" s="58" t="s">
        <v>655</v>
      </c>
    </row>
    <row r="10" spans="1:12" x14ac:dyDescent="0.2">
      <c r="A10" s="52" t="s">
        <v>663</v>
      </c>
      <c r="B10" s="52" t="s">
        <v>662</v>
      </c>
      <c r="C10" s="52" t="s">
        <v>661</v>
      </c>
      <c r="D10" s="53" t="str">
        <f>"0,7324"</f>
        <v>0,7324</v>
      </c>
      <c r="E10" s="52" t="s">
        <v>660</v>
      </c>
      <c r="F10" s="52" t="s">
        <v>659</v>
      </c>
      <c r="G10" s="54" t="s">
        <v>82</v>
      </c>
      <c r="H10" s="54" t="s">
        <v>106</v>
      </c>
      <c r="I10" s="56" t="str">
        <f>"3825,0"</f>
        <v>3825,0</v>
      </c>
      <c r="J10" s="57" t="str">
        <f>"2801,4300"</f>
        <v>2801,4300</v>
      </c>
      <c r="K10" s="52" t="s">
        <v>658</v>
      </c>
      <c r="L10" s="58" t="s">
        <v>655</v>
      </c>
    </row>
    <row r="12" spans="1:12" ht="15" x14ac:dyDescent="0.2">
      <c r="E12" s="29" t="s">
        <v>57</v>
      </c>
    </row>
    <row r="13" spans="1:12" ht="15" x14ac:dyDescent="0.2">
      <c r="E13" s="29" t="s">
        <v>58</v>
      </c>
    </row>
    <row r="14" spans="1:12" ht="15" x14ac:dyDescent="0.2">
      <c r="E14" s="29" t="s">
        <v>59</v>
      </c>
    </row>
    <row r="15" spans="1:12" ht="15" x14ac:dyDescent="0.2">
      <c r="E15" s="29" t="s">
        <v>60</v>
      </c>
    </row>
    <row r="16" spans="1:12" ht="15" x14ac:dyDescent="0.2">
      <c r="E16" s="29" t="s">
        <v>60</v>
      </c>
    </row>
    <row r="17" spans="1:5" ht="15" x14ac:dyDescent="0.2">
      <c r="E17" s="29" t="s">
        <v>61</v>
      </c>
    </row>
    <row r="18" spans="1:5" ht="15" x14ac:dyDescent="0.2">
      <c r="E18" s="29"/>
    </row>
    <row r="20" spans="1:5" ht="18" x14ac:dyDescent="0.25">
      <c r="A20" s="30" t="s">
        <v>62</v>
      </c>
      <c r="B20" s="30"/>
    </row>
    <row r="21" spans="1:5" ht="15" x14ac:dyDescent="0.2">
      <c r="A21" s="31" t="s">
        <v>63</v>
      </c>
      <c r="B21" s="31"/>
    </row>
    <row r="22" spans="1:5" ht="14.25" x14ac:dyDescent="0.2">
      <c r="A22" s="33"/>
      <c r="B22" s="34" t="s">
        <v>64</v>
      </c>
    </row>
    <row r="23" spans="1:5" ht="15" x14ac:dyDescent="0.2">
      <c r="A23" s="35" t="s">
        <v>65</v>
      </c>
      <c r="B23" s="35" t="s">
        <v>66</v>
      </c>
      <c r="C23" s="35" t="s">
        <v>67</v>
      </c>
      <c r="D23" s="36" t="s">
        <v>366</v>
      </c>
      <c r="E23" s="35" t="s">
        <v>657</v>
      </c>
    </row>
    <row r="24" spans="1:5" x14ac:dyDescent="0.2">
      <c r="A24" s="32" t="s">
        <v>656</v>
      </c>
      <c r="B24" s="4" t="s">
        <v>64</v>
      </c>
      <c r="C24" s="4" t="s">
        <v>284</v>
      </c>
      <c r="D24" s="37">
        <v>3825</v>
      </c>
      <c r="E24" s="38">
        <v>2801.43000036478</v>
      </c>
    </row>
    <row r="26" spans="1:5" ht="14.25" x14ac:dyDescent="0.2">
      <c r="A26" s="33"/>
      <c r="B26" s="34" t="s">
        <v>73</v>
      </c>
    </row>
    <row r="27" spans="1:5" ht="15" x14ac:dyDescent="0.2">
      <c r="A27" s="35" t="s">
        <v>65</v>
      </c>
      <c r="B27" s="35" t="s">
        <v>66</v>
      </c>
      <c r="C27" s="35" t="s">
        <v>67</v>
      </c>
      <c r="D27" s="36" t="s">
        <v>366</v>
      </c>
      <c r="E27" s="35" t="s">
        <v>657</v>
      </c>
    </row>
    <row r="28" spans="1:5" x14ac:dyDescent="0.2">
      <c r="A28" s="32" t="s">
        <v>656</v>
      </c>
      <c r="B28" s="4" t="s">
        <v>74</v>
      </c>
      <c r="C28" s="4" t="s">
        <v>284</v>
      </c>
      <c r="D28" s="37">
        <v>3825</v>
      </c>
      <c r="E28" s="38">
        <v>2801.43000036478</v>
      </c>
    </row>
    <row r="29" spans="1:5" x14ac:dyDescent="0.2">
      <c r="A29" s="32" t="s">
        <v>348</v>
      </c>
      <c r="B29" s="4" t="s">
        <v>367</v>
      </c>
      <c r="C29" s="4" t="s">
        <v>280</v>
      </c>
      <c r="D29" s="37">
        <v>1200</v>
      </c>
      <c r="E29" s="38">
        <v>985.31999588012695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9.5703125" style="9" bestFit="1" customWidth="1"/>
    <col min="11" max="11" width="13.42578125" style="4" bestFit="1" customWidth="1"/>
    <col min="12" max="16384" width="9.140625" style="3"/>
  </cols>
  <sheetData>
    <row r="1" spans="1:11" s="2" customFormat="1" ht="29.1" customHeight="1" x14ac:dyDescent="0.2">
      <c r="A1" s="82" t="s">
        <v>674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666</v>
      </c>
      <c r="E3" s="77" t="s">
        <v>4</v>
      </c>
      <c r="F3" s="77" t="s">
        <v>8</v>
      </c>
      <c r="G3" s="77" t="s">
        <v>673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183</v>
      </c>
      <c r="B5" s="81"/>
      <c r="C5" s="81"/>
      <c r="D5" s="81"/>
      <c r="E5" s="81"/>
      <c r="F5" s="81"/>
      <c r="G5" s="81"/>
      <c r="H5" s="81"/>
    </row>
    <row r="6" spans="1:11" x14ac:dyDescent="0.2">
      <c r="A6" s="23" t="s">
        <v>672</v>
      </c>
      <c r="B6" s="23" t="s">
        <v>671</v>
      </c>
      <c r="C6" s="23" t="s">
        <v>357</v>
      </c>
      <c r="D6" s="24" t="str">
        <f>"0,7169"</f>
        <v>0,7169</v>
      </c>
      <c r="E6" s="23" t="s">
        <v>441</v>
      </c>
      <c r="F6" s="23" t="s">
        <v>489</v>
      </c>
      <c r="G6" s="25" t="s">
        <v>89</v>
      </c>
      <c r="H6" s="25" t="s">
        <v>670</v>
      </c>
      <c r="I6" s="27" t="str">
        <f>"1980,0"</f>
        <v>1980,0</v>
      </c>
      <c r="J6" s="28" t="str">
        <f>"1419,4620"</f>
        <v>1419,4620</v>
      </c>
      <c r="K6" s="23" t="s">
        <v>669</v>
      </c>
    </row>
    <row r="8" spans="1:11" ht="15" x14ac:dyDescent="0.2">
      <c r="E8" s="29" t="s">
        <v>57</v>
      </c>
    </row>
    <row r="9" spans="1:11" ht="15" x14ac:dyDescent="0.2">
      <c r="E9" s="29" t="s">
        <v>58</v>
      </c>
    </row>
    <row r="10" spans="1:11" ht="15" x14ac:dyDescent="0.2">
      <c r="E10" s="29" t="s">
        <v>59</v>
      </c>
    </row>
    <row r="11" spans="1:11" ht="15" x14ac:dyDescent="0.2">
      <c r="E11" s="29" t="s">
        <v>60</v>
      </c>
    </row>
    <row r="12" spans="1:11" ht="15" x14ac:dyDescent="0.2">
      <c r="E12" s="29" t="s">
        <v>60</v>
      </c>
    </row>
    <row r="13" spans="1:11" ht="15" x14ac:dyDescent="0.2">
      <c r="E13" s="29" t="s">
        <v>61</v>
      </c>
    </row>
    <row r="14" spans="1:11" ht="15" x14ac:dyDescent="0.2">
      <c r="E14" s="29"/>
    </row>
    <row r="16" spans="1:11" ht="18" x14ac:dyDescent="0.25">
      <c r="A16" s="30" t="s">
        <v>62</v>
      </c>
      <c r="B16" s="30"/>
    </row>
    <row r="17" spans="1:5" ht="15" x14ac:dyDescent="0.2">
      <c r="A17" s="31" t="s">
        <v>63</v>
      </c>
      <c r="B17" s="31"/>
    </row>
    <row r="18" spans="1:5" ht="14.25" x14ac:dyDescent="0.2">
      <c r="A18" s="33"/>
      <c r="B18" s="34" t="s">
        <v>64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657</v>
      </c>
    </row>
    <row r="20" spans="1:5" x14ac:dyDescent="0.2">
      <c r="A20" s="32" t="s">
        <v>668</v>
      </c>
      <c r="B20" s="4" t="s">
        <v>64</v>
      </c>
      <c r="C20" s="4" t="s">
        <v>284</v>
      </c>
      <c r="D20" s="37">
        <v>1980</v>
      </c>
      <c r="E20" s="38">
        <v>1419.46198225021</v>
      </c>
    </row>
  </sheetData>
  <mergeCells count="12"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2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8" bestFit="1" customWidth="1"/>
    <col min="16" max="16" width="8.5703125" style="9" bestFit="1" customWidth="1"/>
    <col min="17" max="17" width="17.85546875" style="4" bestFit="1" customWidth="1"/>
    <col min="18" max="16384" width="9.140625" style="3"/>
  </cols>
  <sheetData>
    <row r="1" spans="1:17" s="2" customFormat="1" ht="29.1" customHeight="1" x14ac:dyDescent="0.2">
      <c r="A1" s="82" t="s">
        <v>648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1:17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7" t="s">
        <v>16</v>
      </c>
      <c r="L3" s="77"/>
      <c r="M3" s="77"/>
      <c r="N3" s="77"/>
      <c r="O3" s="75" t="s">
        <v>1</v>
      </c>
      <c r="P3" s="75" t="s">
        <v>3</v>
      </c>
      <c r="Q3" s="78" t="s">
        <v>2</v>
      </c>
    </row>
    <row r="4" spans="1:17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76"/>
      <c r="P4" s="76"/>
      <c r="Q4" s="79"/>
    </row>
    <row r="5" spans="1:17" ht="15" x14ac:dyDescent="0.2">
      <c r="A5" s="80" t="s">
        <v>121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7" x14ac:dyDescent="0.2">
      <c r="A6" s="23" t="s">
        <v>123</v>
      </c>
      <c r="B6" s="23" t="s">
        <v>124</v>
      </c>
      <c r="C6" s="23" t="s">
        <v>125</v>
      </c>
      <c r="D6" s="24" t="str">
        <f>"0,7219"</f>
        <v>0,7219</v>
      </c>
      <c r="E6" s="23" t="s">
        <v>117</v>
      </c>
      <c r="F6" s="23" t="s">
        <v>118</v>
      </c>
      <c r="G6" s="25" t="s">
        <v>82</v>
      </c>
      <c r="H6" s="26" t="s">
        <v>142</v>
      </c>
      <c r="I6" s="26" t="s">
        <v>142</v>
      </c>
      <c r="J6" s="26"/>
      <c r="K6" s="25" t="s">
        <v>96</v>
      </c>
      <c r="L6" s="25" t="s">
        <v>97</v>
      </c>
      <c r="M6" s="26" t="s">
        <v>133</v>
      </c>
      <c r="N6" s="26"/>
      <c r="O6" s="27" t="str">
        <f>"155,0"</f>
        <v>155,0</v>
      </c>
      <c r="P6" s="28" t="str">
        <f>"111,9022"</f>
        <v>111,9022</v>
      </c>
      <c r="Q6" s="23" t="s">
        <v>126</v>
      </c>
    </row>
    <row r="8" spans="1:17" ht="15" x14ac:dyDescent="0.2">
      <c r="A8" s="83" t="s">
        <v>127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7" x14ac:dyDescent="0.2">
      <c r="A9" s="23" t="s">
        <v>547</v>
      </c>
      <c r="B9" s="23" t="s">
        <v>548</v>
      </c>
      <c r="C9" s="23" t="s">
        <v>549</v>
      </c>
      <c r="D9" s="24" t="str">
        <f>"0,5676"</f>
        <v>0,5676</v>
      </c>
      <c r="E9" s="23" t="s">
        <v>194</v>
      </c>
      <c r="F9" s="23" t="s">
        <v>240</v>
      </c>
      <c r="G9" s="25" t="s">
        <v>297</v>
      </c>
      <c r="H9" s="25" t="s">
        <v>99</v>
      </c>
      <c r="I9" s="25" t="s">
        <v>291</v>
      </c>
      <c r="J9" s="26"/>
      <c r="K9" s="25" t="s">
        <v>181</v>
      </c>
      <c r="L9" s="26" t="s">
        <v>550</v>
      </c>
      <c r="M9" s="26" t="s">
        <v>550</v>
      </c>
      <c r="N9" s="26"/>
      <c r="O9" s="27" t="str">
        <f>"207,5"</f>
        <v>207,5</v>
      </c>
      <c r="P9" s="28" t="str">
        <f>"121,4281"</f>
        <v>121,4281</v>
      </c>
      <c r="Q9" s="23" t="s">
        <v>199</v>
      </c>
    </row>
    <row r="11" spans="1:17" ht="15" x14ac:dyDescent="0.2">
      <c r="A11" s="83" t="s">
        <v>171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7" x14ac:dyDescent="0.2">
      <c r="A12" s="11" t="s">
        <v>178</v>
      </c>
      <c r="B12" s="11" t="s">
        <v>179</v>
      </c>
      <c r="C12" s="11" t="s">
        <v>180</v>
      </c>
      <c r="D12" s="12" t="str">
        <f>"0,6335"</f>
        <v>0,6335</v>
      </c>
      <c r="E12" s="11" t="s">
        <v>117</v>
      </c>
      <c r="F12" s="11" t="s">
        <v>118</v>
      </c>
      <c r="G12" s="13" t="s">
        <v>89</v>
      </c>
      <c r="H12" s="13" t="s">
        <v>96</v>
      </c>
      <c r="I12" s="13" t="s">
        <v>168</v>
      </c>
      <c r="J12" s="14"/>
      <c r="K12" s="13" t="s">
        <v>45</v>
      </c>
      <c r="L12" s="13" t="s">
        <v>29</v>
      </c>
      <c r="M12" s="14" t="s">
        <v>586</v>
      </c>
      <c r="N12" s="14"/>
      <c r="O12" s="15" t="str">
        <f>"290,0"</f>
        <v>290,0</v>
      </c>
      <c r="P12" s="16" t="str">
        <f>"187,3893"</f>
        <v>187,3893</v>
      </c>
      <c r="Q12" s="11" t="s">
        <v>119</v>
      </c>
    </row>
    <row r="13" spans="1:17" x14ac:dyDescent="0.2">
      <c r="A13" s="39" t="s">
        <v>445</v>
      </c>
      <c r="B13" s="39" t="s">
        <v>446</v>
      </c>
      <c r="C13" s="39" t="s">
        <v>447</v>
      </c>
      <c r="D13" s="40" t="str">
        <f>"0,6203"</f>
        <v>0,6203</v>
      </c>
      <c r="E13" s="39" t="s">
        <v>194</v>
      </c>
      <c r="F13" s="39" t="s">
        <v>240</v>
      </c>
      <c r="G13" s="41" t="s">
        <v>448</v>
      </c>
      <c r="H13" s="41" t="s">
        <v>449</v>
      </c>
      <c r="I13" s="41" t="s">
        <v>110</v>
      </c>
      <c r="J13" s="42"/>
      <c r="K13" s="41" t="s">
        <v>48</v>
      </c>
      <c r="L13" s="41" t="s">
        <v>56</v>
      </c>
      <c r="M13" s="41" t="s">
        <v>28</v>
      </c>
      <c r="N13" s="42"/>
      <c r="O13" s="43" t="str">
        <f>"305,0"</f>
        <v>305,0</v>
      </c>
      <c r="P13" s="44" t="str">
        <f>"189,1915"</f>
        <v>189,1915</v>
      </c>
      <c r="Q13" s="39" t="s">
        <v>450</v>
      </c>
    </row>
    <row r="14" spans="1:17" x14ac:dyDescent="0.2">
      <c r="A14" s="17" t="s">
        <v>445</v>
      </c>
      <c r="B14" s="17" t="s">
        <v>451</v>
      </c>
      <c r="C14" s="17" t="s">
        <v>447</v>
      </c>
      <c r="D14" s="18" t="str">
        <f>"0,6203"</f>
        <v>0,6203</v>
      </c>
      <c r="E14" s="17" t="s">
        <v>194</v>
      </c>
      <c r="F14" s="17" t="s">
        <v>240</v>
      </c>
      <c r="G14" s="19" t="s">
        <v>448</v>
      </c>
      <c r="H14" s="19" t="s">
        <v>449</v>
      </c>
      <c r="I14" s="19" t="s">
        <v>110</v>
      </c>
      <c r="J14" s="20"/>
      <c r="K14" s="19" t="s">
        <v>48</v>
      </c>
      <c r="L14" s="19" t="s">
        <v>56</v>
      </c>
      <c r="M14" s="19" t="s">
        <v>28</v>
      </c>
      <c r="N14" s="20"/>
      <c r="O14" s="21" t="str">
        <f>"305,0"</f>
        <v>305,0</v>
      </c>
      <c r="P14" s="22" t="str">
        <f>"198,2727"</f>
        <v>198,2727</v>
      </c>
      <c r="Q14" s="17" t="s">
        <v>450</v>
      </c>
    </row>
    <row r="16" spans="1:17" ht="15" x14ac:dyDescent="0.2">
      <c r="A16" s="83" t="s">
        <v>17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7" x14ac:dyDescent="0.2">
      <c r="A17" s="11" t="s">
        <v>211</v>
      </c>
      <c r="B17" s="11" t="s">
        <v>212</v>
      </c>
      <c r="C17" s="11" t="s">
        <v>213</v>
      </c>
      <c r="D17" s="12" t="str">
        <f>"0,5678"</f>
        <v>0,5678</v>
      </c>
      <c r="E17" s="11" t="s">
        <v>117</v>
      </c>
      <c r="F17" s="11" t="s">
        <v>118</v>
      </c>
      <c r="G17" s="13" t="s">
        <v>88</v>
      </c>
      <c r="H17" s="14" t="s">
        <v>89</v>
      </c>
      <c r="I17" s="14" t="s">
        <v>89</v>
      </c>
      <c r="J17" s="14"/>
      <c r="K17" s="13" t="s">
        <v>44</v>
      </c>
      <c r="L17" s="14" t="s">
        <v>27</v>
      </c>
      <c r="M17" s="14"/>
      <c r="N17" s="14"/>
      <c r="O17" s="15" t="str">
        <f>"230,0"</f>
        <v>230,0</v>
      </c>
      <c r="P17" s="16" t="str">
        <f>"160,6306"</f>
        <v>160,6306</v>
      </c>
      <c r="Q17" s="11" t="s">
        <v>119</v>
      </c>
    </row>
    <row r="18" spans="1:17" x14ac:dyDescent="0.2">
      <c r="A18" s="39" t="s">
        <v>650</v>
      </c>
      <c r="B18" s="39" t="s">
        <v>651</v>
      </c>
      <c r="C18" s="39" t="s">
        <v>652</v>
      </c>
      <c r="D18" s="40" t="str">
        <f>"0,5558"</f>
        <v>0,5558</v>
      </c>
      <c r="E18" s="39" t="s">
        <v>194</v>
      </c>
      <c r="F18" s="39" t="s">
        <v>240</v>
      </c>
      <c r="G18" s="41" t="s">
        <v>44</v>
      </c>
      <c r="H18" s="42" t="s">
        <v>653</v>
      </c>
      <c r="I18" s="42"/>
      <c r="J18" s="42"/>
      <c r="K18" s="41" t="s">
        <v>223</v>
      </c>
      <c r="L18" s="42"/>
      <c r="M18" s="42"/>
      <c r="N18" s="42"/>
      <c r="O18" s="43" t="str">
        <f>"400,0"</f>
        <v>400,0</v>
      </c>
      <c r="P18" s="44" t="str">
        <f>"222,3200"</f>
        <v>222,3200</v>
      </c>
      <c r="Q18" s="39" t="s">
        <v>199</v>
      </c>
    </row>
    <row r="19" spans="1:17" x14ac:dyDescent="0.2">
      <c r="A19" s="17" t="s">
        <v>230</v>
      </c>
      <c r="B19" s="17" t="s">
        <v>231</v>
      </c>
      <c r="C19" s="17" t="s">
        <v>217</v>
      </c>
      <c r="D19" s="18" t="str">
        <f>"0,5694"</f>
        <v>0,5694</v>
      </c>
      <c r="E19" s="17" t="s">
        <v>117</v>
      </c>
      <c r="F19" s="17" t="s">
        <v>118</v>
      </c>
      <c r="G19" s="19" t="s">
        <v>133</v>
      </c>
      <c r="H19" s="20" t="s">
        <v>110</v>
      </c>
      <c r="I19" s="20" t="s">
        <v>110</v>
      </c>
      <c r="J19" s="20"/>
      <c r="K19" s="19" t="s">
        <v>27</v>
      </c>
      <c r="L19" s="20" t="s">
        <v>45</v>
      </c>
      <c r="M19" s="20"/>
      <c r="N19" s="20"/>
      <c r="O19" s="21" t="str">
        <f>"280,0"</f>
        <v>280,0</v>
      </c>
      <c r="P19" s="22" t="str">
        <f>"182,3902"</f>
        <v>182,3902</v>
      </c>
      <c r="Q19" s="17" t="s">
        <v>126</v>
      </c>
    </row>
    <row r="21" spans="1:17" ht="15" x14ac:dyDescent="0.2">
      <c r="A21" s="83" t="s">
        <v>50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7" x14ac:dyDescent="0.2">
      <c r="A22" s="23" t="s">
        <v>252</v>
      </c>
      <c r="B22" s="23" t="s">
        <v>253</v>
      </c>
      <c r="C22" s="23" t="s">
        <v>254</v>
      </c>
      <c r="D22" s="24" t="str">
        <f>"0,5266"</f>
        <v>0,5266</v>
      </c>
      <c r="E22" s="23" t="s">
        <v>117</v>
      </c>
      <c r="F22" s="23" t="s">
        <v>118</v>
      </c>
      <c r="G22" s="25" t="s">
        <v>29</v>
      </c>
      <c r="H22" s="25" t="s">
        <v>196</v>
      </c>
      <c r="I22" s="26" t="s">
        <v>218</v>
      </c>
      <c r="J22" s="26"/>
      <c r="K22" s="25" t="s">
        <v>255</v>
      </c>
      <c r="L22" s="25" t="s">
        <v>256</v>
      </c>
      <c r="M22" s="26"/>
      <c r="N22" s="26"/>
      <c r="O22" s="27" t="str">
        <f>"490,0"</f>
        <v>490,0</v>
      </c>
      <c r="P22" s="28" t="str">
        <f>"258,0340"</f>
        <v>258,0340</v>
      </c>
      <c r="Q22" s="23" t="s">
        <v>126</v>
      </c>
    </row>
    <row r="24" spans="1:17" ht="15" x14ac:dyDescent="0.2">
      <c r="A24" s="83" t="s">
        <v>261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7" x14ac:dyDescent="0.2">
      <c r="A25" s="23" t="s">
        <v>263</v>
      </c>
      <c r="B25" s="23" t="s">
        <v>264</v>
      </c>
      <c r="C25" s="23" t="s">
        <v>265</v>
      </c>
      <c r="D25" s="24" t="str">
        <f>"0,5126"</f>
        <v>0,5126</v>
      </c>
      <c r="E25" s="23" t="s">
        <v>117</v>
      </c>
      <c r="F25" s="23" t="s">
        <v>118</v>
      </c>
      <c r="G25" s="25" t="s">
        <v>27</v>
      </c>
      <c r="H25" s="25" t="s">
        <v>45</v>
      </c>
      <c r="I25" s="26" t="s">
        <v>28</v>
      </c>
      <c r="J25" s="26"/>
      <c r="K25" s="25" t="s">
        <v>31</v>
      </c>
      <c r="L25" s="26" t="s">
        <v>255</v>
      </c>
      <c r="M25" s="26"/>
      <c r="N25" s="26"/>
      <c r="O25" s="27" t="str">
        <f>"430,0"</f>
        <v>430,0</v>
      </c>
      <c r="P25" s="28" t="str">
        <f>"220,4180"</f>
        <v>220,4180</v>
      </c>
      <c r="Q25" s="23" t="s">
        <v>126</v>
      </c>
    </row>
    <row r="27" spans="1:17" ht="15" x14ac:dyDescent="0.2">
      <c r="E27" s="29" t="s">
        <v>57</v>
      </c>
    </row>
    <row r="28" spans="1:17" ht="15" x14ac:dyDescent="0.2">
      <c r="E28" s="29" t="s">
        <v>58</v>
      </c>
    </row>
    <row r="29" spans="1:17" ht="15" x14ac:dyDescent="0.2">
      <c r="E29" s="29" t="s">
        <v>59</v>
      </c>
    </row>
    <row r="30" spans="1:17" ht="15" x14ac:dyDescent="0.2">
      <c r="E30" s="29" t="s">
        <v>60</v>
      </c>
    </row>
    <row r="31" spans="1:17" ht="15" x14ac:dyDescent="0.2">
      <c r="E31" s="29" t="s">
        <v>60</v>
      </c>
    </row>
    <row r="32" spans="1:17" ht="15" x14ac:dyDescent="0.2">
      <c r="E32" s="29" t="s">
        <v>61</v>
      </c>
    </row>
    <row r="33" spans="1:5" ht="15" x14ac:dyDescent="0.2">
      <c r="E33" s="29"/>
    </row>
    <row r="35" spans="1:5" ht="18" x14ac:dyDescent="0.25">
      <c r="A35" s="30" t="s">
        <v>62</v>
      </c>
      <c r="B35" s="30"/>
    </row>
    <row r="36" spans="1:5" ht="15" x14ac:dyDescent="0.2">
      <c r="A36" s="31" t="s">
        <v>266</v>
      </c>
      <c r="B36" s="31"/>
    </row>
    <row r="37" spans="1:5" ht="14.25" x14ac:dyDescent="0.2">
      <c r="A37" s="33"/>
      <c r="B37" s="34" t="s">
        <v>64</v>
      </c>
    </row>
    <row r="38" spans="1:5" ht="15" x14ac:dyDescent="0.2">
      <c r="A38" s="35" t="s">
        <v>65</v>
      </c>
      <c r="B38" s="35" t="s">
        <v>66</v>
      </c>
      <c r="C38" s="35" t="s">
        <v>67</v>
      </c>
      <c r="D38" s="36" t="s">
        <v>68</v>
      </c>
      <c r="E38" s="35" t="s">
        <v>69</v>
      </c>
    </row>
    <row r="39" spans="1:5" x14ac:dyDescent="0.2">
      <c r="A39" s="32" t="s">
        <v>122</v>
      </c>
      <c r="B39" s="4" t="s">
        <v>64</v>
      </c>
      <c r="C39" s="4" t="s">
        <v>271</v>
      </c>
      <c r="D39" s="37">
        <v>155</v>
      </c>
      <c r="E39" s="38">
        <v>111.902249157429</v>
      </c>
    </row>
    <row r="41" spans="1:5" ht="14.25" x14ac:dyDescent="0.2">
      <c r="A41" s="33"/>
      <c r="B41" s="34" t="s">
        <v>73</v>
      </c>
    </row>
    <row r="42" spans="1:5" ht="15" x14ac:dyDescent="0.2">
      <c r="A42" s="35" t="s">
        <v>65</v>
      </c>
      <c r="B42" s="35" t="s">
        <v>66</v>
      </c>
      <c r="C42" s="35" t="s">
        <v>67</v>
      </c>
      <c r="D42" s="36" t="s">
        <v>68</v>
      </c>
      <c r="E42" s="35" t="s">
        <v>69</v>
      </c>
    </row>
    <row r="43" spans="1:5" x14ac:dyDescent="0.2">
      <c r="A43" s="32" t="s">
        <v>546</v>
      </c>
      <c r="B43" s="4" t="s">
        <v>74</v>
      </c>
      <c r="C43" s="4" t="s">
        <v>272</v>
      </c>
      <c r="D43" s="37">
        <v>207.5</v>
      </c>
      <c r="E43" s="38">
        <v>121.428089529872</v>
      </c>
    </row>
    <row r="46" spans="1:5" ht="15" x14ac:dyDescent="0.2">
      <c r="A46" s="31" t="s">
        <v>63</v>
      </c>
      <c r="B46" s="31"/>
    </row>
    <row r="47" spans="1:5" ht="14.25" x14ac:dyDescent="0.2">
      <c r="A47" s="33"/>
      <c r="B47" s="34" t="s">
        <v>276</v>
      </c>
    </row>
    <row r="48" spans="1:5" ht="15" x14ac:dyDescent="0.2">
      <c r="A48" s="35" t="s">
        <v>65</v>
      </c>
      <c r="B48" s="35" t="s">
        <v>66</v>
      </c>
      <c r="C48" s="35" t="s">
        <v>67</v>
      </c>
      <c r="D48" s="36" t="s">
        <v>68</v>
      </c>
      <c r="E48" s="35" t="s">
        <v>69</v>
      </c>
    </row>
    <row r="49" spans="1:5" x14ac:dyDescent="0.2">
      <c r="A49" s="32" t="s">
        <v>210</v>
      </c>
      <c r="B49" s="4" t="s">
        <v>268</v>
      </c>
      <c r="C49" s="4" t="s">
        <v>70</v>
      </c>
      <c r="D49" s="37">
        <v>230</v>
      </c>
      <c r="E49" s="38">
        <v>160.630615872145</v>
      </c>
    </row>
    <row r="51" spans="1:5" ht="14.25" x14ac:dyDescent="0.2">
      <c r="A51" s="33"/>
      <c r="B51" s="34" t="s">
        <v>281</v>
      </c>
    </row>
    <row r="52" spans="1:5" ht="15" x14ac:dyDescent="0.2">
      <c r="A52" s="35" t="s">
        <v>65</v>
      </c>
      <c r="B52" s="35" t="s">
        <v>66</v>
      </c>
      <c r="C52" s="35" t="s">
        <v>67</v>
      </c>
      <c r="D52" s="36" t="s">
        <v>68</v>
      </c>
      <c r="E52" s="35" t="s">
        <v>69</v>
      </c>
    </row>
    <row r="53" spans="1:5" x14ac:dyDescent="0.2">
      <c r="A53" s="32" t="s">
        <v>177</v>
      </c>
      <c r="B53" s="4" t="s">
        <v>282</v>
      </c>
      <c r="C53" s="4" t="s">
        <v>280</v>
      </c>
      <c r="D53" s="37">
        <v>290</v>
      </c>
      <c r="E53" s="38">
        <v>187.38929407596601</v>
      </c>
    </row>
    <row r="55" spans="1:5" ht="14.25" x14ac:dyDescent="0.2">
      <c r="A55" s="33"/>
      <c r="B55" s="34" t="s">
        <v>64</v>
      </c>
    </row>
    <row r="56" spans="1:5" ht="15" x14ac:dyDescent="0.2">
      <c r="A56" s="35" t="s">
        <v>65</v>
      </c>
      <c r="B56" s="35" t="s">
        <v>66</v>
      </c>
      <c r="C56" s="35" t="s">
        <v>67</v>
      </c>
      <c r="D56" s="36" t="s">
        <v>68</v>
      </c>
      <c r="E56" s="35" t="s">
        <v>69</v>
      </c>
    </row>
    <row r="57" spans="1:5" x14ac:dyDescent="0.2">
      <c r="A57" s="32" t="s">
        <v>251</v>
      </c>
      <c r="B57" s="4" t="s">
        <v>64</v>
      </c>
      <c r="C57" s="4" t="s">
        <v>71</v>
      </c>
      <c r="D57" s="37">
        <v>490</v>
      </c>
      <c r="E57" s="38">
        <v>258.03400158882101</v>
      </c>
    </row>
    <row r="58" spans="1:5" x14ac:dyDescent="0.2">
      <c r="A58" s="32" t="s">
        <v>649</v>
      </c>
      <c r="B58" s="4" t="s">
        <v>64</v>
      </c>
      <c r="C58" s="4" t="s">
        <v>70</v>
      </c>
      <c r="D58" s="37">
        <v>400</v>
      </c>
      <c r="E58" s="38">
        <v>222.32000827789301</v>
      </c>
    </row>
    <row r="59" spans="1:5" x14ac:dyDescent="0.2">
      <c r="A59" s="32" t="s">
        <v>262</v>
      </c>
      <c r="B59" s="4" t="s">
        <v>64</v>
      </c>
      <c r="C59" s="4" t="s">
        <v>283</v>
      </c>
      <c r="D59" s="37">
        <v>430</v>
      </c>
      <c r="E59" s="38">
        <v>220.41800200939201</v>
      </c>
    </row>
    <row r="60" spans="1:5" x14ac:dyDescent="0.2">
      <c r="A60" s="32" t="s">
        <v>444</v>
      </c>
      <c r="B60" s="4" t="s">
        <v>64</v>
      </c>
      <c r="C60" s="4" t="s">
        <v>280</v>
      </c>
      <c r="D60" s="37">
        <v>305</v>
      </c>
      <c r="E60" s="38">
        <v>189.19149845838501</v>
      </c>
    </row>
    <row r="62" spans="1:5" ht="14.25" x14ac:dyDescent="0.2">
      <c r="A62" s="33"/>
      <c r="B62" s="34" t="s">
        <v>73</v>
      </c>
    </row>
    <row r="63" spans="1:5" ht="15" x14ac:dyDescent="0.2">
      <c r="A63" s="35" t="s">
        <v>65</v>
      </c>
      <c r="B63" s="35" t="s">
        <v>66</v>
      </c>
      <c r="C63" s="35" t="s">
        <v>67</v>
      </c>
      <c r="D63" s="36" t="s">
        <v>68</v>
      </c>
      <c r="E63" s="35" t="s">
        <v>69</v>
      </c>
    </row>
    <row r="64" spans="1:5" x14ac:dyDescent="0.2">
      <c r="A64" s="32" t="s">
        <v>444</v>
      </c>
      <c r="B64" s="4" t="s">
        <v>275</v>
      </c>
      <c r="C64" s="4" t="s">
        <v>280</v>
      </c>
      <c r="D64" s="37">
        <v>305</v>
      </c>
      <c r="E64" s="38">
        <v>198.272690384388</v>
      </c>
    </row>
    <row r="65" spans="1:5" x14ac:dyDescent="0.2">
      <c r="A65" s="32" t="s">
        <v>227</v>
      </c>
      <c r="B65" s="4" t="s">
        <v>275</v>
      </c>
      <c r="C65" s="4" t="s">
        <v>70</v>
      </c>
      <c r="D65" s="37">
        <v>280</v>
      </c>
      <c r="E65" s="38">
        <v>182.39021200180099</v>
      </c>
    </row>
  </sheetData>
  <mergeCells count="18">
    <mergeCell ref="A8:N8"/>
    <mergeCell ref="A11:N11"/>
    <mergeCell ref="A16:N16"/>
    <mergeCell ref="A21:N21"/>
    <mergeCell ref="A24:N24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8.285156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9.5703125" style="9" bestFit="1" customWidth="1"/>
    <col min="11" max="11" width="17.42578125" style="4" bestFit="1" customWidth="1"/>
    <col min="12" max="16384" width="9.140625" style="3"/>
  </cols>
  <sheetData>
    <row r="1" spans="1:11" s="2" customFormat="1" ht="29.1" customHeight="1" x14ac:dyDescent="0.2">
      <c r="A1" s="82" t="s">
        <v>679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666</v>
      </c>
      <c r="E3" s="77" t="s">
        <v>4</v>
      </c>
      <c r="F3" s="77" t="s">
        <v>8</v>
      </c>
      <c r="G3" s="77" t="s">
        <v>673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76</v>
      </c>
      <c r="B5" s="81"/>
      <c r="C5" s="81"/>
      <c r="D5" s="81"/>
      <c r="E5" s="81"/>
      <c r="F5" s="81"/>
      <c r="G5" s="81"/>
      <c r="H5" s="81"/>
    </row>
    <row r="6" spans="1:11" x14ac:dyDescent="0.2">
      <c r="A6" s="23" t="s">
        <v>324</v>
      </c>
      <c r="B6" s="23" t="s">
        <v>325</v>
      </c>
      <c r="C6" s="23" t="s">
        <v>326</v>
      </c>
      <c r="D6" s="24" t="str">
        <f>"0,9367"</f>
        <v>0,9367</v>
      </c>
      <c r="E6" s="23" t="s">
        <v>222</v>
      </c>
      <c r="F6" s="23" t="s">
        <v>195</v>
      </c>
      <c r="G6" s="25" t="s">
        <v>678</v>
      </c>
      <c r="H6" s="25" t="s">
        <v>677</v>
      </c>
      <c r="I6" s="27" t="str">
        <f>"1402,5"</f>
        <v>1402,5</v>
      </c>
      <c r="J6" s="28" t="str">
        <f>"1313,7217"</f>
        <v>1313,7217</v>
      </c>
      <c r="K6" s="23" t="s">
        <v>199</v>
      </c>
    </row>
    <row r="8" spans="1:11" ht="15" x14ac:dyDescent="0.2">
      <c r="A8" s="83" t="s">
        <v>112</v>
      </c>
      <c r="B8" s="84"/>
      <c r="C8" s="84"/>
      <c r="D8" s="84"/>
      <c r="E8" s="84"/>
      <c r="F8" s="84"/>
      <c r="G8" s="84"/>
      <c r="H8" s="84"/>
    </row>
    <row r="9" spans="1:11" x14ac:dyDescent="0.2">
      <c r="A9" s="11" t="s">
        <v>385</v>
      </c>
      <c r="B9" s="11" t="s">
        <v>386</v>
      </c>
      <c r="C9" s="11" t="s">
        <v>387</v>
      </c>
      <c r="D9" s="12" t="str">
        <f>"0,8737"</f>
        <v>0,8737</v>
      </c>
      <c r="E9" s="11" t="s">
        <v>194</v>
      </c>
      <c r="F9" s="11" t="s">
        <v>240</v>
      </c>
      <c r="G9" s="13" t="s">
        <v>108</v>
      </c>
      <c r="H9" s="13" t="s">
        <v>676</v>
      </c>
      <c r="I9" s="15" t="str">
        <f>"910,0"</f>
        <v>910,0</v>
      </c>
      <c r="J9" s="16" t="str">
        <f>"795,0670"</f>
        <v>795,0670</v>
      </c>
      <c r="K9" s="11" t="s">
        <v>388</v>
      </c>
    </row>
    <row r="10" spans="1:11" x14ac:dyDescent="0.2">
      <c r="A10" s="17" t="s">
        <v>675</v>
      </c>
      <c r="B10" s="17" t="s">
        <v>391</v>
      </c>
      <c r="C10" s="17" t="s">
        <v>392</v>
      </c>
      <c r="D10" s="18" t="str">
        <f>"0,8607"</f>
        <v>0,8607</v>
      </c>
      <c r="E10" s="17" t="s">
        <v>194</v>
      </c>
      <c r="F10" s="17" t="s">
        <v>393</v>
      </c>
      <c r="G10" s="19" t="s">
        <v>108</v>
      </c>
      <c r="H10" s="19"/>
      <c r="I10" s="21" t="str">
        <f>"0.00"</f>
        <v>0.00</v>
      </c>
      <c r="J10" s="22" t="str">
        <f>"0,0000"</f>
        <v>0,0000</v>
      </c>
      <c r="K10" s="17" t="s">
        <v>395</v>
      </c>
    </row>
    <row r="12" spans="1:11" ht="15" x14ac:dyDescent="0.2">
      <c r="E12" s="29" t="s">
        <v>57</v>
      </c>
    </row>
    <row r="13" spans="1:11" ht="15" x14ac:dyDescent="0.2">
      <c r="E13" s="29" t="s">
        <v>58</v>
      </c>
    </row>
    <row r="14" spans="1:11" ht="15" x14ac:dyDescent="0.2">
      <c r="E14" s="29" t="s">
        <v>59</v>
      </c>
    </row>
    <row r="15" spans="1:11" ht="15" x14ac:dyDescent="0.2">
      <c r="E15" s="29" t="s">
        <v>60</v>
      </c>
    </row>
    <row r="16" spans="1:11" ht="15" x14ac:dyDescent="0.2">
      <c r="E16" s="29" t="s">
        <v>60</v>
      </c>
    </row>
    <row r="17" spans="1:5" ht="15" x14ac:dyDescent="0.2">
      <c r="E17" s="29" t="s">
        <v>61</v>
      </c>
    </row>
    <row r="18" spans="1:5" ht="15" x14ac:dyDescent="0.2">
      <c r="E18" s="29"/>
    </row>
    <row r="20" spans="1:5" ht="18" x14ac:dyDescent="0.25">
      <c r="A20" s="30" t="s">
        <v>62</v>
      </c>
      <c r="B20" s="30"/>
    </row>
    <row r="21" spans="1:5" ht="15" x14ac:dyDescent="0.2">
      <c r="A21" s="31" t="s">
        <v>266</v>
      </c>
      <c r="B21" s="31"/>
    </row>
    <row r="22" spans="1:5" ht="14.25" x14ac:dyDescent="0.2">
      <c r="A22" s="33"/>
      <c r="B22" s="34" t="s">
        <v>472</v>
      </c>
    </row>
    <row r="23" spans="1:5" ht="15" x14ac:dyDescent="0.2">
      <c r="A23" s="35" t="s">
        <v>65</v>
      </c>
      <c r="B23" s="35" t="s">
        <v>66</v>
      </c>
      <c r="C23" s="35" t="s">
        <v>67</v>
      </c>
      <c r="D23" s="36" t="s">
        <v>366</v>
      </c>
      <c r="E23" s="35" t="s">
        <v>657</v>
      </c>
    </row>
    <row r="24" spans="1:5" x14ac:dyDescent="0.2">
      <c r="A24" s="32" t="s">
        <v>384</v>
      </c>
      <c r="B24" s="4" t="s">
        <v>282</v>
      </c>
      <c r="C24" s="4" t="s">
        <v>269</v>
      </c>
      <c r="D24" s="37">
        <v>910</v>
      </c>
      <c r="E24" s="38">
        <v>795.067020654678</v>
      </c>
    </row>
    <row r="26" spans="1:5" ht="14.25" x14ac:dyDescent="0.2">
      <c r="A26" s="33"/>
      <c r="B26" s="34" t="s">
        <v>64</v>
      </c>
    </row>
    <row r="27" spans="1:5" ht="15" x14ac:dyDescent="0.2">
      <c r="A27" s="35" t="s">
        <v>65</v>
      </c>
      <c r="B27" s="35" t="s">
        <v>66</v>
      </c>
      <c r="C27" s="35" t="s">
        <v>67</v>
      </c>
      <c r="D27" s="36" t="s">
        <v>366</v>
      </c>
      <c r="E27" s="35" t="s">
        <v>657</v>
      </c>
    </row>
    <row r="28" spans="1:5" x14ac:dyDescent="0.2">
      <c r="A28" s="32" t="s">
        <v>323</v>
      </c>
      <c r="B28" s="4" t="s">
        <v>64</v>
      </c>
      <c r="C28" s="4" t="s">
        <v>273</v>
      </c>
      <c r="D28" s="37">
        <v>1402.5</v>
      </c>
      <c r="E28" s="38">
        <v>1313.7217310071001</v>
      </c>
    </row>
  </sheetData>
  <mergeCells count="13">
    <mergeCell ref="A5:H5"/>
    <mergeCell ref="A8:H8"/>
    <mergeCell ref="D3:D4"/>
    <mergeCell ref="I3:I4"/>
    <mergeCell ref="J3:J4"/>
    <mergeCell ref="A1:K2"/>
    <mergeCell ref="A3:A4"/>
    <mergeCell ref="B3:B4"/>
    <mergeCell ref="C3:C4"/>
    <mergeCell ref="K3:K4"/>
    <mergeCell ref="F3:F4"/>
    <mergeCell ref="E3:E4"/>
    <mergeCell ref="G3:H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>
      <selection activeCell="A30" sqref="A30:Q30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8" bestFit="1" customWidth="1"/>
    <col min="16" max="16" width="8.5703125" style="9" bestFit="1" customWidth="1"/>
    <col min="17" max="17" width="26.42578125" style="4" bestFit="1" customWidth="1"/>
    <col min="18" max="16384" width="9.140625" style="3"/>
  </cols>
  <sheetData>
    <row r="1" spans="1:17" s="2" customFormat="1" ht="29.1" customHeight="1" x14ac:dyDescent="0.2">
      <c r="A1" s="82" t="s">
        <v>691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1:17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690</v>
      </c>
      <c r="H3" s="77"/>
      <c r="I3" s="77"/>
      <c r="J3" s="77"/>
      <c r="K3" s="77" t="s">
        <v>689</v>
      </c>
      <c r="L3" s="77"/>
      <c r="M3" s="77"/>
      <c r="N3" s="77"/>
      <c r="O3" s="75" t="s">
        <v>1</v>
      </c>
      <c r="P3" s="75" t="s">
        <v>3</v>
      </c>
      <c r="Q3" s="78" t="s">
        <v>2</v>
      </c>
    </row>
    <row r="4" spans="1:17" s="1" customFormat="1" ht="21" customHeight="1" thickBot="1" x14ac:dyDescent="0.25">
      <c r="A4" s="72"/>
      <c r="B4" s="74"/>
      <c r="C4" s="74"/>
      <c r="D4" s="76"/>
      <c r="E4" s="74"/>
      <c r="F4" s="74"/>
      <c r="G4" s="45">
        <v>1</v>
      </c>
      <c r="H4" s="45">
        <v>2</v>
      </c>
      <c r="I4" s="45">
        <v>3</v>
      </c>
      <c r="J4" s="45" t="s">
        <v>5</v>
      </c>
      <c r="K4" s="45">
        <v>1</v>
      </c>
      <c r="L4" s="45">
        <v>2</v>
      </c>
      <c r="M4" s="45">
        <v>3</v>
      </c>
      <c r="N4" s="45" t="s">
        <v>5</v>
      </c>
      <c r="O4" s="76"/>
      <c r="P4" s="76"/>
      <c r="Q4" s="79"/>
    </row>
    <row r="5" spans="1:17" ht="15" x14ac:dyDescent="0.2">
      <c r="A5" s="80" t="s">
        <v>491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7" x14ac:dyDescent="0.2">
      <c r="A6" s="23" t="s">
        <v>504</v>
      </c>
      <c r="B6" s="23" t="s">
        <v>505</v>
      </c>
      <c r="C6" s="23" t="s">
        <v>506</v>
      </c>
      <c r="D6" s="24" t="str">
        <f>"1,0008"</f>
        <v>1,0008</v>
      </c>
      <c r="E6" s="23" t="s">
        <v>507</v>
      </c>
      <c r="F6" s="23" t="s">
        <v>240</v>
      </c>
      <c r="G6" s="25" t="s">
        <v>85</v>
      </c>
      <c r="H6" s="25" t="s">
        <v>86</v>
      </c>
      <c r="I6" s="25" t="s">
        <v>108</v>
      </c>
      <c r="J6" s="26"/>
      <c r="K6" s="25" t="s">
        <v>688</v>
      </c>
      <c r="L6" s="26" t="s">
        <v>81</v>
      </c>
      <c r="M6" s="26" t="s">
        <v>81</v>
      </c>
      <c r="N6" s="26"/>
      <c r="O6" s="27" t="str">
        <f>"72,5"</f>
        <v>72,5</v>
      </c>
      <c r="P6" s="28" t="str">
        <f>"72,5580"</f>
        <v>72,5580</v>
      </c>
      <c r="Q6" s="23" t="s">
        <v>508</v>
      </c>
    </row>
    <row r="8" spans="1:17" ht="15" x14ac:dyDescent="0.2">
      <c r="A8" s="83" t="s">
        <v>91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7" x14ac:dyDescent="0.2">
      <c r="A9" s="59" t="s">
        <v>328</v>
      </c>
      <c r="B9" s="59" t="s">
        <v>329</v>
      </c>
      <c r="C9" s="59" t="s">
        <v>330</v>
      </c>
      <c r="D9" s="60" t="str">
        <f>"0,8647"</f>
        <v>0,8647</v>
      </c>
      <c r="E9" s="59" t="s">
        <v>222</v>
      </c>
      <c r="F9" s="59" t="s">
        <v>195</v>
      </c>
      <c r="G9" s="61" t="s">
        <v>141</v>
      </c>
      <c r="H9" s="61" t="s">
        <v>132</v>
      </c>
      <c r="I9" s="62" t="s">
        <v>83</v>
      </c>
      <c r="J9" s="62"/>
      <c r="K9" s="61" t="s">
        <v>85</v>
      </c>
      <c r="L9" s="61" t="s">
        <v>108</v>
      </c>
      <c r="M9" s="61" t="s">
        <v>81</v>
      </c>
      <c r="N9" s="62"/>
      <c r="O9" s="63" t="str">
        <f>"87,5"</f>
        <v>87,5</v>
      </c>
      <c r="P9" s="64" t="str">
        <f>"75,6569"</f>
        <v>75,6569</v>
      </c>
      <c r="Q9" s="59" t="s">
        <v>224</v>
      </c>
    </row>
    <row r="10" spans="1:17" x14ac:dyDescent="0.2">
      <c r="A10" s="17" t="s">
        <v>687</v>
      </c>
      <c r="B10" s="17" t="s">
        <v>325</v>
      </c>
      <c r="C10" s="17" t="s">
        <v>326</v>
      </c>
      <c r="D10" s="18" t="str">
        <f>"0,9284"</f>
        <v>0,9284</v>
      </c>
      <c r="E10" s="17" t="s">
        <v>222</v>
      </c>
      <c r="F10" s="17" t="s">
        <v>195</v>
      </c>
      <c r="G10" s="19" t="s">
        <v>85</v>
      </c>
      <c r="H10" s="20" t="s">
        <v>108</v>
      </c>
      <c r="I10" s="19" t="s">
        <v>108</v>
      </c>
      <c r="J10" s="20"/>
      <c r="K10" s="19" t="s">
        <v>84</v>
      </c>
      <c r="L10" s="19" t="s">
        <v>85</v>
      </c>
      <c r="M10" s="19" t="s">
        <v>86</v>
      </c>
      <c r="N10" s="20"/>
      <c r="O10" s="21" t="str">
        <f>"67,5"</f>
        <v>67,5</v>
      </c>
      <c r="P10" s="22" t="str">
        <f>"62,6670"</f>
        <v>62,6670</v>
      </c>
      <c r="Q10" s="17" t="s">
        <v>199</v>
      </c>
    </row>
    <row r="12" spans="1:17" ht="15" x14ac:dyDescent="0.2">
      <c r="A12" s="83" t="s">
        <v>112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7" x14ac:dyDescent="0.2">
      <c r="A13" s="59" t="s">
        <v>332</v>
      </c>
      <c r="B13" s="59" t="s">
        <v>333</v>
      </c>
      <c r="C13" s="59" t="s">
        <v>334</v>
      </c>
      <c r="D13" s="60" t="str">
        <f>"0,7852"</f>
        <v>0,7852</v>
      </c>
      <c r="E13" s="59" t="s">
        <v>222</v>
      </c>
      <c r="F13" s="59" t="s">
        <v>195</v>
      </c>
      <c r="G13" s="61"/>
      <c r="H13" s="62" t="s">
        <v>132</v>
      </c>
      <c r="I13" s="62" t="s">
        <v>132</v>
      </c>
      <c r="J13" s="62"/>
      <c r="K13" s="61" t="s">
        <v>141</v>
      </c>
      <c r="L13" s="61" t="s">
        <v>108</v>
      </c>
      <c r="M13" s="62" t="s">
        <v>81</v>
      </c>
      <c r="N13" s="62"/>
      <c r="O13" s="63" t="str">
        <f>"77,5"</f>
        <v>77,5</v>
      </c>
      <c r="P13" s="64" t="str">
        <f>"60,8530"</f>
        <v>60,8530</v>
      </c>
      <c r="Q13" s="59" t="s">
        <v>335</v>
      </c>
    </row>
    <row r="14" spans="1:17" x14ac:dyDescent="0.2">
      <c r="A14" s="17" t="s">
        <v>686</v>
      </c>
      <c r="B14" s="17" t="s">
        <v>533</v>
      </c>
      <c r="C14" s="17" t="s">
        <v>534</v>
      </c>
      <c r="D14" s="18" t="str">
        <f>"0,7964"</f>
        <v>0,7964</v>
      </c>
      <c r="E14" s="17" t="s">
        <v>222</v>
      </c>
      <c r="F14" s="17" t="s">
        <v>195</v>
      </c>
      <c r="G14" s="19" t="s">
        <v>678</v>
      </c>
      <c r="H14" s="20" t="s">
        <v>86</v>
      </c>
      <c r="I14" s="19" t="s">
        <v>86</v>
      </c>
      <c r="J14" s="20"/>
      <c r="K14" s="19" t="s">
        <v>685</v>
      </c>
      <c r="L14" s="19" t="s">
        <v>84</v>
      </c>
      <c r="M14" s="19" t="s">
        <v>678</v>
      </c>
      <c r="N14" s="20"/>
      <c r="O14" s="21" t="str">
        <f>"60,0"</f>
        <v>60,0</v>
      </c>
      <c r="P14" s="22" t="str">
        <f>"47,7840"</f>
        <v>47,7840</v>
      </c>
      <c r="Q14" s="17" t="s">
        <v>224</v>
      </c>
    </row>
    <row r="16" spans="1:17" ht="15" x14ac:dyDescent="0.2">
      <c r="A16" s="83" t="s">
        <v>112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7" x14ac:dyDescent="0.2">
      <c r="A17" s="23" t="s">
        <v>684</v>
      </c>
      <c r="B17" s="23" t="s">
        <v>683</v>
      </c>
      <c r="C17" s="23" t="s">
        <v>682</v>
      </c>
      <c r="D17" s="24" t="str">
        <f>"0,7357"</f>
        <v>0,7357</v>
      </c>
      <c r="E17" s="23" t="s">
        <v>222</v>
      </c>
      <c r="F17" s="23" t="s">
        <v>373</v>
      </c>
      <c r="G17" s="25" t="s">
        <v>83</v>
      </c>
      <c r="H17" s="25" t="s">
        <v>98</v>
      </c>
      <c r="I17" s="26" t="s">
        <v>297</v>
      </c>
      <c r="J17" s="26"/>
      <c r="K17" s="25" t="s">
        <v>81</v>
      </c>
      <c r="L17" s="25" t="s">
        <v>82</v>
      </c>
      <c r="M17" s="25" t="s">
        <v>83</v>
      </c>
      <c r="N17" s="26"/>
      <c r="O17" s="27" t="str">
        <f>"105,0"</f>
        <v>105,0</v>
      </c>
      <c r="P17" s="28" t="str">
        <f>"77,2485"</f>
        <v>77,2485</v>
      </c>
      <c r="Q17" s="23" t="s">
        <v>224</v>
      </c>
    </row>
    <row r="19" spans="1:17" ht="15" x14ac:dyDescent="0.2">
      <c r="A19" s="83" t="s">
        <v>121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7" x14ac:dyDescent="0.2">
      <c r="A20" s="11" t="s">
        <v>337</v>
      </c>
      <c r="B20" s="11" t="s">
        <v>338</v>
      </c>
      <c r="C20" s="11" t="s">
        <v>339</v>
      </c>
      <c r="D20" s="12" t="str">
        <f>"0,6694"</f>
        <v>0,6694</v>
      </c>
      <c r="E20" s="11" t="s">
        <v>222</v>
      </c>
      <c r="F20" s="11" t="s">
        <v>195</v>
      </c>
      <c r="G20" s="13" t="s">
        <v>100</v>
      </c>
      <c r="H20" s="13" t="s">
        <v>87</v>
      </c>
      <c r="I20" s="14" t="s">
        <v>394</v>
      </c>
      <c r="J20" s="14"/>
      <c r="K20" s="13" t="s">
        <v>98</v>
      </c>
      <c r="L20" s="13" t="s">
        <v>291</v>
      </c>
      <c r="M20" s="14"/>
      <c r="N20" s="14"/>
      <c r="O20" s="15" t="str">
        <f>"132,5"</f>
        <v>132,5</v>
      </c>
      <c r="P20" s="16" t="str">
        <f>"88,6955"</f>
        <v>88,6955</v>
      </c>
      <c r="Q20" s="11" t="s">
        <v>224</v>
      </c>
    </row>
    <row r="21" spans="1:17" x14ac:dyDescent="0.2">
      <c r="A21" s="17" t="s">
        <v>341</v>
      </c>
      <c r="B21" s="17" t="s">
        <v>342</v>
      </c>
      <c r="C21" s="17" t="s">
        <v>343</v>
      </c>
      <c r="D21" s="18" t="str">
        <f>"0,6673"</f>
        <v>0,6673</v>
      </c>
      <c r="E21" s="17" t="s">
        <v>222</v>
      </c>
      <c r="F21" s="17" t="s">
        <v>195</v>
      </c>
      <c r="G21" s="19" t="s">
        <v>99</v>
      </c>
      <c r="H21" s="19" t="s">
        <v>100</v>
      </c>
      <c r="I21" s="20" t="s">
        <v>292</v>
      </c>
      <c r="J21" s="20"/>
      <c r="K21" s="19" t="s">
        <v>81</v>
      </c>
      <c r="L21" s="19" t="s">
        <v>82</v>
      </c>
      <c r="M21" s="19" t="s">
        <v>83</v>
      </c>
      <c r="N21" s="20"/>
      <c r="O21" s="21" t="str">
        <f>"115,0"</f>
        <v>115,0</v>
      </c>
      <c r="P21" s="22" t="str">
        <f>"76,7395"</f>
        <v>76,7395</v>
      </c>
      <c r="Q21" s="17" t="s">
        <v>335</v>
      </c>
    </row>
    <row r="23" spans="1:17" ht="15" x14ac:dyDescent="0.2">
      <c r="A23" s="83" t="s">
        <v>171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7" x14ac:dyDescent="0.2">
      <c r="A24" s="23" t="s">
        <v>345</v>
      </c>
      <c r="B24" s="23" t="s">
        <v>346</v>
      </c>
      <c r="C24" s="23" t="s">
        <v>347</v>
      </c>
      <c r="D24" s="24" t="str">
        <f>"0,6193"</f>
        <v>0,6193</v>
      </c>
      <c r="E24" s="23" t="s">
        <v>222</v>
      </c>
      <c r="F24" s="23" t="s">
        <v>195</v>
      </c>
      <c r="G24" s="25" t="s">
        <v>106</v>
      </c>
      <c r="H24" s="26" t="s">
        <v>89</v>
      </c>
      <c r="I24" s="25" t="s">
        <v>89</v>
      </c>
      <c r="J24" s="26"/>
      <c r="K24" s="25" t="s">
        <v>98</v>
      </c>
      <c r="L24" s="25" t="s">
        <v>291</v>
      </c>
      <c r="M24" s="26" t="s">
        <v>394</v>
      </c>
      <c r="N24" s="26"/>
      <c r="O24" s="27" t="str">
        <f>"152,5"</f>
        <v>152,5</v>
      </c>
      <c r="P24" s="28" t="str">
        <f>"94,4433"</f>
        <v>94,4433</v>
      </c>
      <c r="Q24" s="23" t="s">
        <v>335</v>
      </c>
    </row>
    <row r="26" spans="1:17" ht="15" x14ac:dyDescent="0.2">
      <c r="A26" s="83" t="s">
        <v>183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7" x14ac:dyDescent="0.2">
      <c r="A27" s="23" t="s">
        <v>681</v>
      </c>
      <c r="B27" s="23" t="s">
        <v>603</v>
      </c>
      <c r="C27" s="23" t="s">
        <v>604</v>
      </c>
      <c r="D27" s="24" t="str">
        <f>"0,5865"</f>
        <v>0,5865</v>
      </c>
      <c r="E27" s="23" t="s">
        <v>222</v>
      </c>
      <c r="F27" s="23" t="s">
        <v>195</v>
      </c>
      <c r="G27" s="25" t="s">
        <v>99</v>
      </c>
      <c r="H27" s="25" t="s">
        <v>87</v>
      </c>
      <c r="I27" s="26" t="s">
        <v>394</v>
      </c>
      <c r="J27" s="26"/>
      <c r="K27" s="25" t="s">
        <v>297</v>
      </c>
      <c r="L27" s="25" t="s">
        <v>100</v>
      </c>
      <c r="M27" s="26" t="s">
        <v>292</v>
      </c>
      <c r="N27" s="26"/>
      <c r="O27" s="27" t="str">
        <f>"135,0"</f>
        <v>135,0</v>
      </c>
      <c r="P27" s="28" t="str">
        <f>"79,1775"</f>
        <v>79,1775</v>
      </c>
      <c r="Q27" s="23" t="s">
        <v>605</v>
      </c>
    </row>
    <row r="29" spans="1:17" ht="15" x14ac:dyDescent="0.2">
      <c r="A29" s="83" t="s">
        <v>17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spans="1:17" x14ac:dyDescent="0.2">
      <c r="A30" s="46" t="s">
        <v>363</v>
      </c>
      <c r="B30" s="46" t="s">
        <v>364</v>
      </c>
      <c r="C30" s="46" t="s">
        <v>365</v>
      </c>
      <c r="D30" s="47" t="str">
        <f>"0,5639"</f>
        <v>0,5639</v>
      </c>
      <c r="E30" s="46" t="s">
        <v>222</v>
      </c>
      <c r="F30" s="46" t="s">
        <v>195</v>
      </c>
      <c r="G30" s="49" t="s">
        <v>96</v>
      </c>
      <c r="H30" s="49" t="s">
        <v>168</v>
      </c>
      <c r="I30" s="49" t="s">
        <v>97</v>
      </c>
      <c r="J30" s="48"/>
      <c r="K30" s="49" t="s">
        <v>105</v>
      </c>
      <c r="L30" s="49" t="s">
        <v>88</v>
      </c>
      <c r="M30" s="49" t="s">
        <v>106</v>
      </c>
      <c r="N30" s="48"/>
      <c r="O30" s="50" t="str">
        <f>"195,0"</f>
        <v>195,0</v>
      </c>
      <c r="P30" s="51" t="str">
        <f>"109,9605"</f>
        <v>109,9605</v>
      </c>
      <c r="Q30" s="46" t="s">
        <v>335</v>
      </c>
    </row>
    <row r="32" spans="1:17" ht="15" x14ac:dyDescent="0.2">
      <c r="E32" s="29" t="s">
        <v>57</v>
      </c>
    </row>
    <row r="33" spans="1:5" ht="15" x14ac:dyDescent="0.2">
      <c r="E33" s="29" t="s">
        <v>58</v>
      </c>
    </row>
    <row r="34" spans="1:5" ht="15" x14ac:dyDescent="0.2">
      <c r="E34" s="29" t="s">
        <v>59</v>
      </c>
    </row>
    <row r="35" spans="1:5" ht="15" x14ac:dyDescent="0.2">
      <c r="E35" s="29" t="s">
        <v>60</v>
      </c>
    </row>
    <row r="36" spans="1:5" ht="15" x14ac:dyDescent="0.2">
      <c r="E36" s="29" t="s">
        <v>60</v>
      </c>
    </row>
    <row r="37" spans="1:5" ht="15" x14ac:dyDescent="0.2">
      <c r="E37" s="29" t="s">
        <v>61</v>
      </c>
    </row>
    <row r="38" spans="1:5" ht="15" x14ac:dyDescent="0.2">
      <c r="E38" s="29"/>
    </row>
    <row r="40" spans="1:5" ht="18" x14ac:dyDescent="0.25">
      <c r="A40" s="30" t="s">
        <v>62</v>
      </c>
      <c r="B40" s="30"/>
    </row>
    <row r="41" spans="1:5" ht="15" x14ac:dyDescent="0.2">
      <c r="A41" s="31" t="s">
        <v>266</v>
      </c>
      <c r="B41" s="31"/>
    </row>
    <row r="42" spans="1:5" ht="14.25" x14ac:dyDescent="0.2">
      <c r="A42" s="33"/>
      <c r="B42" s="34" t="s">
        <v>64</v>
      </c>
    </row>
    <row r="43" spans="1:5" ht="15" x14ac:dyDescent="0.2">
      <c r="A43" s="35" t="s">
        <v>65</v>
      </c>
      <c r="B43" s="35" t="s">
        <v>66</v>
      </c>
      <c r="C43" s="35" t="s">
        <v>67</v>
      </c>
      <c r="D43" s="36" t="s">
        <v>68</v>
      </c>
      <c r="E43" s="35" t="s">
        <v>69</v>
      </c>
    </row>
    <row r="44" spans="1:5" x14ac:dyDescent="0.2">
      <c r="A44" s="32" t="s">
        <v>327</v>
      </c>
      <c r="B44" s="4" t="s">
        <v>64</v>
      </c>
      <c r="C44" s="4" t="s">
        <v>270</v>
      </c>
      <c r="D44" s="37">
        <v>87.5</v>
      </c>
      <c r="E44" s="38">
        <v>75.656875967979403</v>
      </c>
    </row>
    <row r="45" spans="1:5" x14ac:dyDescent="0.2">
      <c r="A45" s="32" t="s">
        <v>503</v>
      </c>
      <c r="B45" s="4" t="s">
        <v>64</v>
      </c>
      <c r="C45" s="4" t="s">
        <v>496</v>
      </c>
      <c r="D45" s="37">
        <v>72.5</v>
      </c>
      <c r="E45" s="38">
        <v>72.558000981807695</v>
      </c>
    </row>
    <row r="46" spans="1:5" x14ac:dyDescent="0.2">
      <c r="A46" s="32" t="s">
        <v>323</v>
      </c>
      <c r="B46" s="4" t="s">
        <v>64</v>
      </c>
      <c r="C46" s="4" t="s">
        <v>270</v>
      </c>
      <c r="D46" s="37">
        <v>67.5</v>
      </c>
      <c r="E46" s="38">
        <v>62.666998654604001</v>
      </c>
    </row>
    <row r="47" spans="1:5" x14ac:dyDescent="0.2">
      <c r="A47" s="32" t="s">
        <v>331</v>
      </c>
      <c r="B47" s="4" t="s">
        <v>64</v>
      </c>
      <c r="C47" s="4" t="s">
        <v>269</v>
      </c>
      <c r="D47" s="37">
        <v>77.5</v>
      </c>
      <c r="E47" s="38">
        <v>60.852999985217998</v>
      </c>
    </row>
    <row r="48" spans="1:5" x14ac:dyDescent="0.2">
      <c r="A48" s="32" t="s">
        <v>531</v>
      </c>
      <c r="B48" s="4" t="s">
        <v>64</v>
      </c>
      <c r="C48" s="4" t="s">
        <v>269</v>
      </c>
      <c r="D48" s="37">
        <v>60</v>
      </c>
      <c r="E48" s="38">
        <v>47.784000635147102</v>
      </c>
    </row>
    <row r="51" spans="1:5" ht="15" x14ac:dyDescent="0.2">
      <c r="A51" s="31" t="s">
        <v>63</v>
      </c>
      <c r="B51" s="31"/>
    </row>
    <row r="52" spans="1:5" ht="14.25" x14ac:dyDescent="0.2">
      <c r="A52" s="33"/>
      <c r="B52" s="34" t="s">
        <v>64</v>
      </c>
    </row>
    <row r="53" spans="1:5" ht="15" x14ac:dyDescent="0.2">
      <c r="A53" s="35" t="s">
        <v>65</v>
      </c>
      <c r="B53" s="35" t="s">
        <v>66</v>
      </c>
      <c r="C53" s="35" t="s">
        <v>67</v>
      </c>
      <c r="D53" s="36" t="s">
        <v>68</v>
      </c>
      <c r="E53" s="35" t="s">
        <v>69</v>
      </c>
    </row>
    <row r="54" spans="1:5" x14ac:dyDescent="0.2">
      <c r="A54" s="32" t="s">
        <v>362</v>
      </c>
      <c r="B54" s="4" t="s">
        <v>64</v>
      </c>
      <c r="C54" s="4" t="s">
        <v>70</v>
      </c>
      <c r="D54" s="37">
        <v>195</v>
      </c>
      <c r="E54" s="38">
        <v>109.960498809814</v>
      </c>
    </row>
    <row r="55" spans="1:5" x14ac:dyDescent="0.2">
      <c r="A55" s="32" t="s">
        <v>344</v>
      </c>
      <c r="B55" s="4" t="s">
        <v>64</v>
      </c>
      <c r="C55" s="4" t="s">
        <v>280</v>
      </c>
      <c r="D55" s="37">
        <v>152.5</v>
      </c>
      <c r="E55" s="38">
        <v>94.443251192569704</v>
      </c>
    </row>
    <row r="56" spans="1:5" x14ac:dyDescent="0.2">
      <c r="A56" s="32" t="s">
        <v>336</v>
      </c>
      <c r="B56" s="4" t="s">
        <v>64</v>
      </c>
      <c r="C56" s="4" t="s">
        <v>271</v>
      </c>
      <c r="D56" s="37">
        <v>132.5</v>
      </c>
      <c r="E56" s="38">
        <v>88.695496916770907</v>
      </c>
    </row>
    <row r="57" spans="1:5" x14ac:dyDescent="0.2">
      <c r="A57" s="32" t="s">
        <v>601</v>
      </c>
      <c r="B57" s="4" t="s">
        <v>64</v>
      </c>
      <c r="C57" s="4" t="s">
        <v>284</v>
      </c>
      <c r="D57" s="37">
        <v>135</v>
      </c>
      <c r="E57" s="38">
        <v>79.177498519420595</v>
      </c>
    </row>
    <row r="58" spans="1:5" x14ac:dyDescent="0.2">
      <c r="A58" s="32" t="s">
        <v>680</v>
      </c>
      <c r="B58" s="4" t="s">
        <v>64</v>
      </c>
      <c r="C58" s="4" t="s">
        <v>269</v>
      </c>
      <c r="D58" s="37">
        <v>105</v>
      </c>
      <c r="E58" s="38">
        <v>77.248501181602506</v>
      </c>
    </row>
    <row r="59" spans="1:5" x14ac:dyDescent="0.2">
      <c r="A59" s="32" t="s">
        <v>340</v>
      </c>
      <c r="B59" s="4" t="s">
        <v>64</v>
      </c>
      <c r="C59" s="4" t="s">
        <v>271</v>
      </c>
      <c r="D59" s="37">
        <v>115</v>
      </c>
      <c r="E59" s="38">
        <v>76.739498376846299</v>
      </c>
    </row>
  </sheetData>
  <mergeCells count="20">
    <mergeCell ref="F3:F4"/>
    <mergeCell ref="G3:J3"/>
    <mergeCell ref="K3:N3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A29:N29"/>
    <mergeCell ref="A8:N8"/>
    <mergeCell ref="A12:N12"/>
    <mergeCell ref="A16:N16"/>
    <mergeCell ref="A19:N19"/>
    <mergeCell ref="A23:N23"/>
    <mergeCell ref="A26:N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5.140625" style="4" bestFit="1" customWidth="1"/>
    <col min="6" max="6" width="38.7109375" style="4" bestFit="1" customWidth="1"/>
    <col min="7" max="9" width="4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26.42578125" style="4" bestFit="1" customWidth="1"/>
    <col min="14" max="16384" width="9.140625" style="3"/>
  </cols>
  <sheetData>
    <row r="1" spans="1:13" s="2" customFormat="1" ht="29.1" customHeight="1" x14ac:dyDescent="0.2">
      <c r="A1" s="82" t="s">
        <v>704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689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45">
        <v>1</v>
      </c>
      <c r="H4" s="45">
        <v>2</v>
      </c>
      <c r="I4" s="45">
        <v>3</v>
      </c>
      <c r="J4" s="45" t="s">
        <v>5</v>
      </c>
      <c r="K4" s="76"/>
      <c r="L4" s="76"/>
      <c r="M4" s="79"/>
    </row>
    <row r="5" spans="1:13" ht="15" x14ac:dyDescent="0.2">
      <c r="A5" s="80" t="s">
        <v>491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504</v>
      </c>
      <c r="B6" s="23" t="s">
        <v>505</v>
      </c>
      <c r="C6" s="23" t="s">
        <v>506</v>
      </c>
      <c r="D6" s="24" t="str">
        <f>"1,0008"</f>
        <v>1,0008</v>
      </c>
      <c r="E6" s="23" t="s">
        <v>507</v>
      </c>
      <c r="F6" s="23" t="s">
        <v>240</v>
      </c>
      <c r="G6" s="25" t="s">
        <v>688</v>
      </c>
      <c r="H6" s="26" t="s">
        <v>81</v>
      </c>
      <c r="I6" s="26" t="s">
        <v>81</v>
      </c>
      <c r="J6" s="26"/>
      <c r="K6" s="27" t="str">
        <f>"37,5"</f>
        <v>37,5</v>
      </c>
      <c r="L6" s="28" t="str">
        <f>"37,5300"</f>
        <v>37,5300</v>
      </c>
      <c r="M6" s="23" t="s">
        <v>508</v>
      </c>
    </row>
    <row r="8" spans="1:13" ht="15" x14ac:dyDescent="0.2">
      <c r="A8" s="83" t="s">
        <v>91</v>
      </c>
      <c r="B8" s="84"/>
      <c r="C8" s="84"/>
      <c r="D8" s="84"/>
      <c r="E8" s="84"/>
      <c r="F8" s="84"/>
      <c r="G8" s="84"/>
      <c r="H8" s="84"/>
      <c r="I8" s="84"/>
      <c r="J8" s="84"/>
    </row>
    <row r="9" spans="1:13" x14ac:dyDescent="0.2">
      <c r="A9" s="11" t="s">
        <v>328</v>
      </c>
      <c r="B9" s="11" t="s">
        <v>329</v>
      </c>
      <c r="C9" s="11" t="s">
        <v>330</v>
      </c>
      <c r="D9" s="12" t="str">
        <f>"0,8647"</f>
        <v>0,8647</v>
      </c>
      <c r="E9" s="11" t="s">
        <v>222</v>
      </c>
      <c r="F9" s="11" t="s">
        <v>195</v>
      </c>
      <c r="G9" s="13" t="s">
        <v>85</v>
      </c>
      <c r="H9" s="13" t="s">
        <v>108</v>
      </c>
      <c r="I9" s="13" t="s">
        <v>81</v>
      </c>
      <c r="J9" s="14"/>
      <c r="K9" s="15" t="str">
        <f>"40,0"</f>
        <v>40,0</v>
      </c>
      <c r="L9" s="16" t="str">
        <f>"34,5860"</f>
        <v>34,5860</v>
      </c>
      <c r="M9" s="11" t="s">
        <v>224</v>
      </c>
    </row>
    <row r="10" spans="1:13" x14ac:dyDescent="0.2">
      <c r="A10" s="17" t="s">
        <v>687</v>
      </c>
      <c r="B10" s="17" t="s">
        <v>325</v>
      </c>
      <c r="C10" s="17" t="s">
        <v>326</v>
      </c>
      <c r="D10" s="18" t="str">
        <f>"0,9284"</f>
        <v>0,9284</v>
      </c>
      <c r="E10" s="17" t="s">
        <v>222</v>
      </c>
      <c r="F10" s="17" t="s">
        <v>195</v>
      </c>
      <c r="G10" s="19" t="s">
        <v>84</v>
      </c>
      <c r="H10" s="19" t="s">
        <v>85</v>
      </c>
      <c r="I10" s="19" t="s">
        <v>86</v>
      </c>
      <c r="J10" s="20"/>
      <c r="K10" s="21" t="str">
        <f>"32,5"</f>
        <v>32,5</v>
      </c>
      <c r="L10" s="22" t="str">
        <f>"30,1730"</f>
        <v>30,1730</v>
      </c>
      <c r="M10" s="17" t="s">
        <v>199</v>
      </c>
    </row>
    <row r="12" spans="1:13" ht="15" x14ac:dyDescent="0.2">
      <c r="A12" s="83" t="s">
        <v>112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3" x14ac:dyDescent="0.2">
      <c r="A13" s="11" t="s">
        <v>332</v>
      </c>
      <c r="B13" s="11" t="s">
        <v>333</v>
      </c>
      <c r="C13" s="11" t="s">
        <v>334</v>
      </c>
      <c r="D13" s="12" t="str">
        <f>"0,7852"</f>
        <v>0,7852</v>
      </c>
      <c r="E13" s="11" t="s">
        <v>222</v>
      </c>
      <c r="F13" s="11" t="s">
        <v>195</v>
      </c>
      <c r="G13" s="13" t="s">
        <v>141</v>
      </c>
      <c r="H13" s="13" t="s">
        <v>108</v>
      </c>
      <c r="I13" s="14" t="s">
        <v>81</v>
      </c>
      <c r="J13" s="14"/>
      <c r="K13" s="15" t="str">
        <f>"35,0"</f>
        <v>35,0</v>
      </c>
      <c r="L13" s="16" t="str">
        <f>"27,4820"</f>
        <v>27,4820</v>
      </c>
      <c r="M13" s="11" t="s">
        <v>335</v>
      </c>
    </row>
    <row r="14" spans="1:13" x14ac:dyDescent="0.2">
      <c r="A14" s="17" t="s">
        <v>686</v>
      </c>
      <c r="B14" s="17" t="s">
        <v>533</v>
      </c>
      <c r="C14" s="17" t="s">
        <v>534</v>
      </c>
      <c r="D14" s="18" t="str">
        <f>"0,7964"</f>
        <v>0,7964</v>
      </c>
      <c r="E14" s="17" t="s">
        <v>222</v>
      </c>
      <c r="F14" s="17" t="s">
        <v>195</v>
      </c>
      <c r="G14" s="19" t="s">
        <v>685</v>
      </c>
      <c r="H14" s="19" t="s">
        <v>84</v>
      </c>
      <c r="I14" s="19" t="s">
        <v>678</v>
      </c>
      <c r="J14" s="20"/>
      <c r="K14" s="21" t="str">
        <f>"27,5"</f>
        <v>27,5</v>
      </c>
      <c r="L14" s="22" t="str">
        <f>"21,9010"</f>
        <v>21,9010</v>
      </c>
      <c r="M14" s="17" t="s">
        <v>224</v>
      </c>
    </row>
    <row r="16" spans="1:13" ht="15" x14ac:dyDescent="0.2">
      <c r="A16" s="83" t="s">
        <v>121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3" x14ac:dyDescent="0.2">
      <c r="A17" s="23" t="s">
        <v>397</v>
      </c>
      <c r="B17" s="23" t="s">
        <v>398</v>
      </c>
      <c r="C17" s="23" t="s">
        <v>399</v>
      </c>
      <c r="D17" s="24" t="str">
        <f>"0,7717"</f>
        <v>0,7717</v>
      </c>
      <c r="E17" s="23" t="s">
        <v>194</v>
      </c>
      <c r="F17" s="23" t="s">
        <v>195</v>
      </c>
      <c r="G17" s="25" t="s">
        <v>703</v>
      </c>
      <c r="H17" s="26"/>
      <c r="I17" s="26"/>
      <c r="J17" s="26"/>
      <c r="K17" s="27" t="str">
        <f>"17,5"</f>
        <v>17,5</v>
      </c>
      <c r="L17" s="28" t="str">
        <f>"13,5048"</f>
        <v>13,5048</v>
      </c>
      <c r="M17" s="23" t="s">
        <v>199</v>
      </c>
    </row>
    <row r="19" spans="1:13" ht="15" x14ac:dyDescent="0.2">
      <c r="A19" s="83" t="s">
        <v>491</v>
      </c>
      <c r="B19" s="84"/>
      <c r="C19" s="84"/>
      <c r="D19" s="84"/>
      <c r="E19" s="84"/>
      <c r="F19" s="84"/>
      <c r="G19" s="84"/>
      <c r="H19" s="84"/>
      <c r="I19" s="84"/>
      <c r="J19" s="84"/>
    </row>
    <row r="20" spans="1:13" x14ac:dyDescent="0.2">
      <c r="A20" s="11" t="s">
        <v>555</v>
      </c>
      <c r="B20" s="11" t="s">
        <v>556</v>
      </c>
      <c r="C20" s="11" t="s">
        <v>557</v>
      </c>
      <c r="D20" s="12" t="str">
        <f>"1,0186"</f>
        <v>1,0186</v>
      </c>
      <c r="E20" s="11" t="s">
        <v>405</v>
      </c>
      <c r="F20" s="11" t="s">
        <v>406</v>
      </c>
      <c r="G20" s="13" t="s">
        <v>703</v>
      </c>
      <c r="H20" s="13" t="s">
        <v>685</v>
      </c>
      <c r="I20" s="14" t="s">
        <v>702</v>
      </c>
      <c r="J20" s="14"/>
      <c r="K20" s="15" t="str">
        <f>"20,0"</f>
        <v>20,0</v>
      </c>
      <c r="L20" s="16" t="str">
        <f>"25,0576"</f>
        <v>25,0576</v>
      </c>
      <c r="M20" s="11" t="s">
        <v>407</v>
      </c>
    </row>
    <row r="21" spans="1:13" x14ac:dyDescent="0.2">
      <c r="A21" s="39" t="s">
        <v>552</v>
      </c>
      <c r="B21" s="39" t="s">
        <v>553</v>
      </c>
      <c r="C21" s="39" t="s">
        <v>418</v>
      </c>
      <c r="D21" s="40" t="str">
        <f>"1,0469"</f>
        <v>1,0469</v>
      </c>
      <c r="E21" s="39" t="s">
        <v>405</v>
      </c>
      <c r="F21" s="39" t="s">
        <v>406</v>
      </c>
      <c r="G21" s="41" t="s">
        <v>86</v>
      </c>
      <c r="H21" s="41" t="s">
        <v>108</v>
      </c>
      <c r="I21" s="41" t="s">
        <v>688</v>
      </c>
      <c r="J21" s="42"/>
      <c r="K21" s="43" t="str">
        <f>"37,5"</f>
        <v>37,5</v>
      </c>
      <c r="L21" s="44" t="str">
        <f>"48,2883"</f>
        <v>48,2883</v>
      </c>
      <c r="M21" s="39" t="s">
        <v>407</v>
      </c>
    </row>
    <row r="22" spans="1:13" x14ac:dyDescent="0.2">
      <c r="A22" s="17" t="s">
        <v>701</v>
      </c>
      <c r="B22" s="17" t="s">
        <v>417</v>
      </c>
      <c r="C22" s="17" t="s">
        <v>418</v>
      </c>
      <c r="D22" s="18" t="str">
        <f>"1,0469"</f>
        <v>1,0469</v>
      </c>
      <c r="E22" s="17" t="s">
        <v>405</v>
      </c>
      <c r="F22" s="17" t="s">
        <v>406</v>
      </c>
      <c r="G22" s="19" t="s">
        <v>685</v>
      </c>
      <c r="H22" s="19" t="s">
        <v>85</v>
      </c>
      <c r="I22" s="19" t="s">
        <v>86</v>
      </c>
      <c r="J22" s="20"/>
      <c r="K22" s="21" t="str">
        <f>"32,5"</f>
        <v>32,5</v>
      </c>
      <c r="L22" s="22" t="str">
        <f>"41,8498"</f>
        <v>41,8498</v>
      </c>
      <c r="M22" s="17" t="s">
        <v>407</v>
      </c>
    </row>
    <row r="24" spans="1:13" ht="15" x14ac:dyDescent="0.2">
      <c r="A24" s="83" t="s">
        <v>112</v>
      </c>
      <c r="B24" s="84"/>
      <c r="C24" s="84"/>
      <c r="D24" s="84"/>
      <c r="E24" s="84"/>
      <c r="F24" s="84"/>
      <c r="G24" s="84"/>
      <c r="H24" s="84"/>
      <c r="I24" s="84"/>
      <c r="J24" s="84"/>
    </row>
    <row r="25" spans="1:13" x14ac:dyDescent="0.2">
      <c r="A25" s="23" t="s">
        <v>684</v>
      </c>
      <c r="B25" s="23" t="s">
        <v>683</v>
      </c>
      <c r="C25" s="23" t="s">
        <v>682</v>
      </c>
      <c r="D25" s="24" t="str">
        <f>"0,7357"</f>
        <v>0,7357</v>
      </c>
      <c r="E25" s="23" t="s">
        <v>222</v>
      </c>
      <c r="F25" s="23" t="s">
        <v>373</v>
      </c>
      <c r="G25" s="25" t="s">
        <v>81</v>
      </c>
      <c r="H25" s="25" t="s">
        <v>82</v>
      </c>
      <c r="I25" s="25" t="s">
        <v>83</v>
      </c>
      <c r="J25" s="26"/>
      <c r="K25" s="27" t="str">
        <f>"50,0"</f>
        <v>50,0</v>
      </c>
      <c r="L25" s="28" t="str">
        <f>"36,7850"</f>
        <v>36,7850</v>
      </c>
      <c r="M25" s="23" t="s">
        <v>224</v>
      </c>
    </row>
    <row r="27" spans="1:13" ht="15" x14ac:dyDescent="0.2">
      <c r="A27" s="83" t="s">
        <v>121</v>
      </c>
      <c r="B27" s="84"/>
      <c r="C27" s="84"/>
      <c r="D27" s="84"/>
      <c r="E27" s="84"/>
      <c r="F27" s="84"/>
      <c r="G27" s="84"/>
      <c r="H27" s="84"/>
      <c r="I27" s="84"/>
      <c r="J27" s="84"/>
    </row>
    <row r="28" spans="1:13" x14ac:dyDescent="0.2">
      <c r="A28" s="11" t="s">
        <v>164</v>
      </c>
      <c r="B28" s="11" t="s">
        <v>165</v>
      </c>
      <c r="C28" s="11" t="s">
        <v>166</v>
      </c>
      <c r="D28" s="12" t="str">
        <f>"0,6828"</f>
        <v>0,6828</v>
      </c>
      <c r="E28" s="11" t="s">
        <v>139</v>
      </c>
      <c r="F28" s="11" t="s">
        <v>167</v>
      </c>
      <c r="G28" s="13" t="s">
        <v>82</v>
      </c>
      <c r="H28" s="13" t="s">
        <v>98</v>
      </c>
      <c r="I28" s="14" t="s">
        <v>297</v>
      </c>
      <c r="J28" s="14"/>
      <c r="K28" s="15" t="str">
        <f>"55,0"</f>
        <v>55,0</v>
      </c>
      <c r="L28" s="16" t="str">
        <f>"40,5583"</f>
        <v>40,5583</v>
      </c>
      <c r="M28" s="11" t="s">
        <v>143</v>
      </c>
    </row>
    <row r="29" spans="1:13" x14ac:dyDescent="0.2">
      <c r="A29" s="39" t="s">
        <v>700</v>
      </c>
      <c r="B29" s="39" t="s">
        <v>434</v>
      </c>
      <c r="C29" s="39" t="s">
        <v>125</v>
      </c>
      <c r="D29" s="40" t="str">
        <f>"0,6645"</f>
        <v>0,6645</v>
      </c>
      <c r="E29" s="39" t="s">
        <v>435</v>
      </c>
      <c r="F29" s="39" t="s">
        <v>436</v>
      </c>
      <c r="G29" s="41" t="s">
        <v>81</v>
      </c>
      <c r="H29" s="42" t="s">
        <v>98</v>
      </c>
      <c r="I29" s="41" t="s">
        <v>98</v>
      </c>
      <c r="J29" s="42"/>
      <c r="K29" s="43" t="str">
        <f>"55,0"</f>
        <v>55,0</v>
      </c>
      <c r="L29" s="44" t="str">
        <f>"36,5475"</f>
        <v>36,5475</v>
      </c>
      <c r="M29" s="39" t="s">
        <v>437</v>
      </c>
    </row>
    <row r="30" spans="1:13" x14ac:dyDescent="0.2">
      <c r="A30" s="17" t="s">
        <v>341</v>
      </c>
      <c r="B30" s="17" t="s">
        <v>342</v>
      </c>
      <c r="C30" s="17" t="s">
        <v>343</v>
      </c>
      <c r="D30" s="18" t="str">
        <f>"0,6673"</f>
        <v>0,6673</v>
      </c>
      <c r="E30" s="17" t="s">
        <v>222</v>
      </c>
      <c r="F30" s="17" t="s">
        <v>195</v>
      </c>
      <c r="G30" s="19" t="s">
        <v>81</v>
      </c>
      <c r="H30" s="19" t="s">
        <v>82</v>
      </c>
      <c r="I30" s="19" t="s">
        <v>83</v>
      </c>
      <c r="J30" s="20"/>
      <c r="K30" s="21" t="str">
        <f>"50,0"</f>
        <v>50,0</v>
      </c>
      <c r="L30" s="22" t="str">
        <f>"33,3650"</f>
        <v>33,3650</v>
      </c>
      <c r="M30" s="17" t="s">
        <v>335</v>
      </c>
    </row>
    <row r="32" spans="1:13" ht="15" x14ac:dyDescent="0.2">
      <c r="A32" s="83" t="s">
        <v>171</v>
      </c>
      <c r="B32" s="84"/>
      <c r="C32" s="84"/>
      <c r="D32" s="84"/>
      <c r="E32" s="84"/>
      <c r="F32" s="84"/>
      <c r="G32" s="84"/>
      <c r="H32" s="84"/>
      <c r="I32" s="84"/>
      <c r="J32" s="84"/>
    </row>
    <row r="33" spans="1:13" x14ac:dyDescent="0.2">
      <c r="A33" s="11" t="s">
        <v>699</v>
      </c>
      <c r="B33" s="11" t="s">
        <v>698</v>
      </c>
      <c r="C33" s="11" t="s">
        <v>697</v>
      </c>
      <c r="D33" s="12" t="str">
        <f>"0,6341"</f>
        <v>0,6341</v>
      </c>
      <c r="E33" s="11" t="s">
        <v>405</v>
      </c>
      <c r="F33" s="11" t="s">
        <v>406</v>
      </c>
      <c r="G33" s="13" t="s">
        <v>83</v>
      </c>
      <c r="H33" s="13" t="s">
        <v>142</v>
      </c>
      <c r="I33" s="13" t="s">
        <v>297</v>
      </c>
      <c r="J33" s="14"/>
      <c r="K33" s="15" t="str">
        <f>"57,5"</f>
        <v>57,5</v>
      </c>
      <c r="L33" s="16" t="str">
        <f>"44,8467"</f>
        <v>44,8467</v>
      </c>
      <c r="M33" s="11" t="s">
        <v>407</v>
      </c>
    </row>
    <row r="34" spans="1:13" x14ac:dyDescent="0.2">
      <c r="A34" s="39" t="s">
        <v>696</v>
      </c>
      <c r="B34" s="39" t="s">
        <v>594</v>
      </c>
      <c r="C34" s="39" t="s">
        <v>595</v>
      </c>
      <c r="D34" s="40" t="str">
        <f>"0,6224"</f>
        <v>0,6224</v>
      </c>
      <c r="E34" s="39" t="s">
        <v>405</v>
      </c>
      <c r="F34" s="39" t="s">
        <v>406</v>
      </c>
      <c r="G34" s="41" t="s">
        <v>81</v>
      </c>
      <c r="H34" s="41" t="s">
        <v>82</v>
      </c>
      <c r="I34" s="42" t="s">
        <v>142</v>
      </c>
      <c r="J34" s="42"/>
      <c r="K34" s="43" t="str">
        <f>"45,0"</f>
        <v>45,0</v>
      </c>
      <c r="L34" s="44" t="str">
        <f>"33,0494"</f>
        <v>33,0494</v>
      </c>
      <c r="M34" s="39" t="s">
        <v>407</v>
      </c>
    </row>
    <row r="35" spans="1:13" x14ac:dyDescent="0.2">
      <c r="A35" s="39" t="s">
        <v>345</v>
      </c>
      <c r="B35" s="39" t="s">
        <v>346</v>
      </c>
      <c r="C35" s="39" t="s">
        <v>347</v>
      </c>
      <c r="D35" s="40" t="str">
        <f>"0,6193"</f>
        <v>0,6193</v>
      </c>
      <c r="E35" s="39" t="s">
        <v>222</v>
      </c>
      <c r="F35" s="39" t="s">
        <v>195</v>
      </c>
      <c r="G35" s="41" t="s">
        <v>98</v>
      </c>
      <c r="H35" s="41" t="s">
        <v>291</v>
      </c>
      <c r="I35" s="42" t="s">
        <v>394</v>
      </c>
      <c r="J35" s="42"/>
      <c r="K35" s="43" t="str">
        <f>"62,5"</f>
        <v>62,5</v>
      </c>
      <c r="L35" s="44" t="str">
        <f>"38,7063"</f>
        <v>38,7063</v>
      </c>
      <c r="M35" s="39" t="s">
        <v>335</v>
      </c>
    </row>
    <row r="36" spans="1:13" x14ac:dyDescent="0.2">
      <c r="A36" s="39" t="s">
        <v>598</v>
      </c>
      <c r="B36" s="39" t="s">
        <v>599</v>
      </c>
      <c r="C36" s="39" t="s">
        <v>595</v>
      </c>
      <c r="D36" s="40" t="str">
        <f>"0,6224"</f>
        <v>0,6224</v>
      </c>
      <c r="E36" s="39" t="s">
        <v>139</v>
      </c>
      <c r="F36" s="39" t="s">
        <v>140</v>
      </c>
      <c r="G36" s="41" t="s">
        <v>142</v>
      </c>
      <c r="H36" s="41" t="s">
        <v>297</v>
      </c>
      <c r="I36" s="42" t="s">
        <v>291</v>
      </c>
      <c r="J36" s="42"/>
      <c r="K36" s="43" t="str">
        <f>"57,5"</f>
        <v>57,5</v>
      </c>
      <c r="L36" s="44" t="str">
        <f>"35,7880"</f>
        <v>35,7880</v>
      </c>
      <c r="M36" s="39" t="s">
        <v>143</v>
      </c>
    </row>
    <row r="37" spans="1:13" x14ac:dyDescent="0.2">
      <c r="A37" s="17" t="s">
        <v>452</v>
      </c>
      <c r="B37" s="17" t="s">
        <v>695</v>
      </c>
      <c r="C37" s="17" t="s">
        <v>454</v>
      </c>
      <c r="D37" s="18" t="str">
        <f>"0,6246"</f>
        <v>0,6246</v>
      </c>
      <c r="E37" s="17" t="s">
        <v>194</v>
      </c>
      <c r="F37" s="17" t="s">
        <v>240</v>
      </c>
      <c r="G37" s="20" t="s">
        <v>291</v>
      </c>
      <c r="H37" s="20"/>
      <c r="I37" s="20"/>
      <c r="J37" s="20"/>
      <c r="K37" s="21" t="str">
        <f>"0.00"</f>
        <v>0.00</v>
      </c>
      <c r="L37" s="22" t="str">
        <f>"0,0000"</f>
        <v>0,0000</v>
      </c>
      <c r="M37" s="17" t="s">
        <v>199</v>
      </c>
    </row>
    <row r="39" spans="1:13" ht="15" x14ac:dyDescent="0.2">
      <c r="A39" s="83" t="s">
        <v>183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3" x14ac:dyDescent="0.2">
      <c r="A40" s="11" t="s">
        <v>681</v>
      </c>
      <c r="B40" s="11" t="s">
        <v>603</v>
      </c>
      <c r="C40" s="11" t="s">
        <v>604</v>
      </c>
      <c r="D40" s="12" t="str">
        <f>"0,5865"</f>
        <v>0,5865</v>
      </c>
      <c r="E40" s="11" t="s">
        <v>222</v>
      </c>
      <c r="F40" s="11" t="s">
        <v>195</v>
      </c>
      <c r="G40" s="13" t="s">
        <v>297</v>
      </c>
      <c r="H40" s="13" t="s">
        <v>100</v>
      </c>
      <c r="I40" s="14" t="s">
        <v>292</v>
      </c>
      <c r="J40" s="14"/>
      <c r="K40" s="15" t="str">
        <f>"65,0"</f>
        <v>65,0</v>
      </c>
      <c r="L40" s="16" t="str">
        <f>"38,1225"</f>
        <v>38,1225</v>
      </c>
      <c r="M40" s="11" t="s">
        <v>605</v>
      </c>
    </row>
    <row r="41" spans="1:13" x14ac:dyDescent="0.2">
      <c r="A41" s="17" t="s">
        <v>694</v>
      </c>
      <c r="B41" s="17" t="s">
        <v>461</v>
      </c>
      <c r="C41" s="17" t="s">
        <v>462</v>
      </c>
      <c r="D41" s="18" t="str">
        <f>"0,5935"</f>
        <v>0,5935</v>
      </c>
      <c r="E41" s="17" t="s">
        <v>139</v>
      </c>
      <c r="F41" s="17" t="s">
        <v>140</v>
      </c>
      <c r="G41" s="19" t="s">
        <v>297</v>
      </c>
      <c r="H41" s="20" t="s">
        <v>100</v>
      </c>
      <c r="I41" s="20" t="s">
        <v>100</v>
      </c>
      <c r="J41" s="20"/>
      <c r="K41" s="21" t="str">
        <f>"57,5"</f>
        <v>57,5</v>
      </c>
      <c r="L41" s="22" t="str">
        <f>"50,5069"</f>
        <v>50,5069</v>
      </c>
      <c r="M41" s="17" t="s">
        <v>143</v>
      </c>
    </row>
    <row r="43" spans="1:13" ht="15" x14ac:dyDescent="0.2">
      <c r="A43" s="83" t="s">
        <v>17</v>
      </c>
      <c r="B43" s="84"/>
      <c r="C43" s="84"/>
      <c r="D43" s="84"/>
      <c r="E43" s="84"/>
      <c r="F43" s="84"/>
      <c r="G43" s="84"/>
      <c r="H43" s="84"/>
      <c r="I43" s="84"/>
      <c r="J43" s="84"/>
    </row>
    <row r="44" spans="1:13" x14ac:dyDescent="0.2">
      <c r="A44" s="23" t="s">
        <v>363</v>
      </c>
      <c r="B44" s="23" t="s">
        <v>364</v>
      </c>
      <c r="C44" s="23" t="s">
        <v>365</v>
      </c>
      <c r="D44" s="24" t="str">
        <f>"0,5639"</f>
        <v>0,5639</v>
      </c>
      <c r="E44" s="23" t="s">
        <v>222</v>
      </c>
      <c r="F44" s="23" t="s">
        <v>195</v>
      </c>
      <c r="G44" s="25" t="s">
        <v>105</v>
      </c>
      <c r="H44" s="25" t="s">
        <v>88</v>
      </c>
      <c r="I44" s="25" t="s">
        <v>106</v>
      </c>
      <c r="J44" s="26"/>
      <c r="K44" s="27" t="str">
        <f>"85,0"</f>
        <v>85,0</v>
      </c>
      <c r="L44" s="28" t="str">
        <f>"47,9315"</f>
        <v>47,9315</v>
      </c>
      <c r="M44" s="23" t="s">
        <v>335</v>
      </c>
    </row>
    <row r="46" spans="1:13" ht="15" x14ac:dyDescent="0.2">
      <c r="A46" s="83" t="s">
        <v>39</v>
      </c>
      <c r="B46" s="84"/>
      <c r="C46" s="84"/>
      <c r="D46" s="84"/>
      <c r="E46" s="84"/>
      <c r="F46" s="84"/>
      <c r="G46" s="84"/>
      <c r="H46" s="84"/>
      <c r="I46" s="84"/>
      <c r="J46" s="84"/>
    </row>
    <row r="47" spans="1:13" x14ac:dyDescent="0.2">
      <c r="A47" s="23" t="s">
        <v>233</v>
      </c>
      <c r="B47" s="23" t="s">
        <v>234</v>
      </c>
      <c r="C47" s="23" t="s">
        <v>235</v>
      </c>
      <c r="D47" s="24" t="str">
        <f>"0,5477"</f>
        <v>0,5477</v>
      </c>
      <c r="E47" s="23" t="s">
        <v>139</v>
      </c>
      <c r="F47" s="23" t="s">
        <v>167</v>
      </c>
      <c r="G47" s="25" t="s">
        <v>82</v>
      </c>
      <c r="H47" s="25" t="s">
        <v>142</v>
      </c>
      <c r="I47" s="26" t="s">
        <v>99</v>
      </c>
      <c r="J47" s="26"/>
      <c r="K47" s="27" t="str">
        <f>"52,5"</f>
        <v>52,5</v>
      </c>
      <c r="L47" s="28" t="str">
        <f>"29,6169"</f>
        <v>29,6169</v>
      </c>
      <c r="M47" s="23" t="s">
        <v>143</v>
      </c>
    </row>
    <row r="49" spans="1:5" ht="15" x14ac:dyDescent="0.2">
      <c r="E49" s="29" t="s">
        <v>57</v>
      </c>
    </row>
    <row r="50" spans="1:5" ht="15" x14ac:dyDescent="0.2">
      <c r="E50" s="29" t="s">
        <v>58</v>
      </c>
    </row>
    <row r="51" spans="1:5" ht="15" x14ac:dyDescent="0.2">
      <c r="E51" s="29" t="s">
        <v>59</v>
      </c>
    </row>
    <row r="52" spans="1:5" ht="15" x14ac:dyDescent="0.2">
      <c r="E52" s="29" t="s">
        <v>60</v>
      </c>
    </row>
    <row r="53" spans="1:5" ht="15" x14ac:dyDescent="0.2">
      <c r="E53" s="29" t="s">
        <v>60</v>
      </c>
    </row>
    <row r="54" spans="1:5" ht="15" x14ac:dyDescent="0.2">
      <c r="E54" s="29" t="s">
        <v>61</v>
      </c>
    </row>
    <row r="55" spans="1:5" ht="15" x14ac:dyDescent="0.2">
      <c r="E55" s="29"/>
    </row>
    <row r="57" spans="1:5" ht="18" x14ac:dyDescent="0.25">
      <c r="A57" s="30" t="s">
        <v>62</v>
      </c>
      <c r="B57" s="30"/>
    </row>
    <row r="58" spans="1:5" ht="15" x14ac:dyDescent="0.2">
      <c r="A58" s="31" t="s">
        <v>266</v>
      </c>
      <c r="B58" s="31"/>
    </row>
    <row r="59" spans="1:5" ht="14.25" x14ac:dyDescent="0.2">
      <c r="A59" s="33"/>
      <c r="B59" s="34" t="s">
        <v>64</v>
      </c>
    </row>
    <row r="60" spans="1:5" ht="15" x14ac:dyDescent="0.2">
      <c r="A60" s="35" t="s">
        <v>65</v>
      </c>
      <c r="B60" s="35" t="s">
        <v>66</v>
      </c>
      <c r="C60" s="35" t="s">
        <v>67</v>
      </c>
      <c r="D60" s="36" t="s">
        <v>366</v>
      </c>
      <c r="E60" s="35" t="s">
        <v>69</v>
      </c>
    </row>
    <row r="61" spans="1:5" x14ac:dyDescent="0.2">
      <c r="A61" s="32" t="s">
        <v>503</v>
      </c>
      <c r="B61" s="4" t="s">
        <v>64</v>
      </c>
      <c r="C61" s="4" t="s">
        <v>496</v>
      </c>
      <c r="D61" s="37">
        <v>37.5</v>
      </c>
      <c r="E61" s="38">
        <v>37.530000507831602</v>
      </c>
    </row>
    <row r="62" spans="1:5" x14ac:dyDescent="0.2">
      <c r="A62" s="32" t="s">
        <v>327</v>
      </c>
      <c r="B62" s="4" t="s">
        <v>64</v>
      </c>
      <c r="C62" s="4" t="s">
        <v>270</v>
      </c>
      <c r="D62" s="37">
        <v>40</v>
      </c>
      <c r="E62" s="38">
        <v>34.586000442504897</v>
      </c>
    </row>
    <row r="63" spans="1:5" x14ac:dyDescent="0.2">
      <c r="A63" s="32" t="s">
        <v>323</v>
      </c>
      <c r="B63" s="4" t="s">
        <v>64</v>
      </c>
      <c r="C63" s="4" t="s">
        <v>270</v>
      </c>
      <c r="D63" s="37">
        <v>32.5</v>
      </c>
      <c r="E63" s="38">
        <v>30.172999352216699</v>
      </c>
    </row>
    <row r="64" spans="1:5" x14ac:dyDescent="0.2">
      <c r="A64" s="32" t="s">
        <v>331</v>
      </c>
      <c r="B64" s="4" t="s">
        <v>64</v>
      </c>
      <c r="C64" s="4" t="s">
        <v>269</v>
      </c>
      <c r="D64" s="37">
        <v>35</v>
      </c>
      <c r="E64" s="38">
        <v>27.481999993324301</v>
      </c>
    </row>
    <row r="65" spans="1:5" x14ac:dyDescent="0.2">
      <c r="A65" s="32" t="s">
        <v>531</v>
      </c>
      <c r="B65" s="4" t="s">
        <v>64</v>
      </c>
      <c r="C65" s="4" t="s">
        <v>269</v>
      </c>
      <c r="D65" s="37">
        <v>27.5</v>
      </c>
      <c r="E65" s="38">
        <v>21.901000291109099</v>
      </c>
    </row>
    <row r="66" spans="1:5" x14ac:dyDescent="0.2">
      <c r="A66" s="32" t="s">
        <v>396</v>
      </c>
      <c r="B66" s="4" t="s">
        <v>64</v>
      </c>
      <c r="C66" s="4" t="s">
        <v>271</v>
      </c>
      <c r="D66" s="37">
        <v>17.5</v>
      </c>
      <c r="E66" s="38">
        <v>13.504750430584</v>
      </c>
    </row>
    <row r="69" spans="1:5" ht="15" x14ac:dyDescent="0.2">
      <c r="A69" s="31" t="s">
        <v>63</v>
      </c>
      <c r="B69" s="31"/>
    </row>
    <row r="70" spans="1:5" ht="14.25" x14ac:dyDescent="0.2">
      <c r="A70" s="33"/>
      <c r="B70" s="34" t="s">
        <v>276</v>
      </c>
    </row>
    <row r="71" spans="1:5" ht="15" x14ac:dyDescent="0.2">
      <c r="A71" s="35" t="s">
        <v>65</v>
      </c>
      <c r="B71" s="35" t="s">
        <v>66</v>
      </c>
      <c r="C71" s="35" t="s">
        <v>67</v>
      </c>
      <c r="D71" s="36" t="s">
        <v>366</v>
      </c>
      <c r="E71" s="35" t="s">
        <v>69</v>
      </c>
    </row>
    <row r="72" spans="1:5" x14ac:dyDescent="0.2">
      <c r="A72" s="32" t="s">
        <v>551</v>
      </c>
      <c r="B72" s="4" t="s">
        <v>277</v>
      </c>
      <c r="C72" s="4" t="s">
        <v>496</v>
      </c>
      <c r="D72" s="37">
        <v>37.5</v>
      </c>
      <c r="E72" s="38">
        <v>48.288264065980897</v>
      </c>
    </row>
    <row r="73" spans="1:5" x14ac:dyDescent="0.2">
      <c r="A73" s="32" t="s">
        <v>693</v>
      </c>
      <c r="B73" s="4" t="s">
        <v>277</v>
      </c>
      <c r="C73" s="4" t="s">
        <v>280</v>
      </c>
      <c r="D73" s="37">
        <v>57.5</v>
      </c>
      <c r="E73" s="38">
        <v>44.846723909676101</v>
      </c>
    </row>
    <row r="74" spans="1:5" x14ac:dyDescent="0.2">
      <c r="A74" s="32" t="s">
        <v>415</v>
      </c>
      <c r="B74" s="4" t="s">
        <v>277</v>
      </c>
      <c r="C74" s="4" t="s">
        <v>496</v>
      </c>
      <c r="D74" s="37">
        <v>32.5</v>
      </c>
      <c r="E74" s="38">
        <v>41.849828857183503</v>
      </c>
    </row>
    <row r="75" spans="1:5" x14ac:dyDescent="0.2">
      <c r="A75" s="32" t="s">
        <v>163</v>
      </c>
      <c r="B75" s="4" t="s">
        <v>279</v>
      </c>
      <c r="C75" s="4" t="s">
        <v>271</v>
      </c>
      <c r="D75" s="37">
        <v>55</v>
      </c>
      <c r="E75" s="38">
        <v>40.558319699764198</v>
      </c>
    </row>
    <row r="76" spans="1:5" x14ac:dyDescent="0.2">
      <c r="A76" s="32" t="s">
        <v>592</v>
      </c>
      <c r="B76" s="4" t="s">
        <v>277</v>
      </c>
      <c r="C76" s="4" t="s">
        <v>280</v>
      </c>
      <c r="D76" s="37">
        <v>45</v>
      </c>
      <c r="E76" s="38">
        <v>33.049439245462402</v>
      </c>
    </row>
    <row r="77" spans="1:5" x14ac:dyDescent="0.2">
      <c r="A77" s="32" t="s">
        <v>554</v>
      </c>
      <c r="B77" s="4" t="s">
        <v>268</v>
      </c>
      <c r="C77" s="4" t="s">
        <v>496</v>
      </c>
      <c r="D77" s="37">
        <v>20</v>
      </c>
      <c r="E77" s="38">
        <v>25.057559680938699</v>
      </c>
    </row>
    <row r="79" spans="1:5" ht="14.25" x14ac:dyDescent="0.2">
      <c r="A79" s="33"/>
      <c r="B79" s="34" t="s">
        <v>281</v>
      </c>
    </row>
    <row r="80" spans="1:5" ht="15" x14ac:dyDescent="0.2">
      <c r="A80" s="35" t="s">
        <v>65</v>
      </c>
      <c r="B80" s="35" t="s">
        <v>66</v>
      </c>
      <c r="C80" s="35" t="s">
        <v>67</v>
      </c>
      <c r="D80" s="36" t="s">
        <v>366</v>
      </c>
      <c r="E80" s="35" t="s">
        <v>69</v>
      </c>
    </row>
    <row r="81" spans="1:5" x14ac:dyDescent="0.2">
      <c r="A81" s="32" t="s">
        <v>232</v>
      </c>
      <c r="B81" s="4" t="s">
        <v>282</v>
      </c>
      <c r="C81" s="4" t="s">
        <v>72</v>
      </c>
      <c r="D81" s="37">
        <v>52.5</v>
      </c>
      <c r="E81" s="38">
        <v>29.6168768450618</v>
      </c>
    </row>
    <row r="83" spans="1:5" ht="14.25" x14ac:dyDescent="0.2">
      <c r="A83" s="33"/>
      <c r="B83" s="34" t="s">
        <v>64</v>
      </c>
    </row>
    <row r="84" spans="1:5" ht="15" x14ac:dyDescent="0.2">
      <c r="A84" s="35" t="s">
        <v>65</v>
      </c>
      <c r="B84" s="35" t="s">
        <v>66</v>
      </c>
      <c r="C84" s="35" t="s">
        <v>67</v>
      </c>
      <c r="D84" s="36" t="s">
        <v>366</v>
      </c>
      <c r="E84" s="35" t="s">
        <v>69</v>
      </c>
    </row>
    <row r="85" spans="1:5" x14ac:dyDescent="0.2">
      <c r="A85" s="32" t="s">
        <v>362</v>
      </c>
      <c r="B85" s="4" t="s">
        <v>64</v>
      </c>
      <c r="C85" s="4" t="s">
        <v>70</v>
      </c>
      <c r="D85" s="37">
        <v>85</v>
      </c>
      <c r="E85" s="38">
        <v>47.9314994812012</v>
      </c>
    </row>
    <row r="86" spans="1:5" x14ac:dyDescent="0.2">
      <c r="A86" s="32" t="s">
        <v>344</v>
      </c>
      <c r="B86" s="4" t="s">
        <v>64</v>
      </c>
      <c r="C86" s="4" t="s">
        <v>280</v>
      </c>
      <c r="D86" s="37">
        <v>62.5</v>
      </c>
      <c r="E86" s="38">
        <v>38.706250488758101</v>
      </c>
    </row>
    <row r="87" spans="1:5" x14ac:dyDescent="0.2">
      <c r="A87" s="32" t="s">
        <v>601</v>
      </c>
      <c r="B87" s="4" t="s">
        <v>64</v>
      </c>
      <c r="C87" s="4" t="s">
        <v>284</v>
      </c>
      <c r="D87" s="37">
        <v>65</v>
      </c>
      <c r="E87" s="38">
        <v>38.122499287128399</v>
      </c>
    </row>
    <row r="88" spans="1:5" x14ac:dyDescent="0.2">
      <c r="A88" s="32" t="s">
        <v>680</v>
      </c>
      <c r="B88" s="4" t="s">
        <v>64</v>
      </c>
      <c r="C88" s="4" t="s">
        <v>269</v>
      </c>
      <c r="D88" s="37">
        <v>50</v>
      </c>
      <c r="E88" s="38">
        <v>36.785000562667797</v>
      </c>
    </row>
    <row r="89" spans="1:5" x14ac:dyDescent="0.2">
      <c r="A89" s="32" t="s">
        <v>432</v>
      </c>
      <c r="B89" s="4" t="s">
        <v>64</v>
      </c>
      <c r="C89" s="4" t="s">
        <v>271</v>
      </c>
      <c r="D89" s="37">
        <v>55</v>
      </c>
      <c r="E89" s="38">
        <v>36.547499895095797</v>
      </c>
    </row>
    <row r="90" spans="1:5" x14ac:dyDescent="0.2">
      <c r="A90" s="32" t="s">
        <v>597</v>
      </c>
      <c r="B90" s="4" t="s">
        <v>64</v>
      </c>
      <c r="C90" s="4" t="s">
        <v>280</v>
      </c>
      <c r="D90" s="37">
        <v>57.5</v>
      </c>
      <c r="E90" s="38">
        <v>35.787999182939501</v>
      </c>
    </row>
    <row r="91" spans="1:5" x14ac:dyDescent="0.2">
      <c r="A91" s="32" t="s">
        <v>340</v>
      </c>
      <c r="B91" s="4" t="s">
        <v>64</v>
      </c>
      <c r="C91" s="4" t="s">
        <v>271</v>
      </c>
      <c r="D91" s="37">
        <v>50</v>
      </c>
      <c r="E91" s="38">
        <v>33.364999294280999</v>
      </c>
    </row>
    <row r="93" spans="1:5" ht="14.25" x14ac:dyDescent="0.2">
      <c r="A93" s="33"/>
      <c r="B93" s="34" t="s">
        <v>73</v>
      </c>
    </row>
    <row r="94" spans="1:5" ht="15" x14ac:dyDescent="0.2">
      <c r="A94" s="35" t="s">
        <v>65</v>
      </c>
      <c r="B94" s="35" t="s">
        <v>66</v>
      </c>
      <c r="C94" s="35" t="s">
        <v>67</v>
      </c>
      <c r="D94" s="36" t="s">
        <v>366</v>
      </c>
      <c r="E94" s="35" t="s">
        <v>69</v>
      </c>
    </row>
    <row r="95" spans="1:5" x14ac:dyDescent="0.2">
      <c r="A95" s="32" t="s">
        <v>692</v>
      </c>
      <c r="B95" s="4" t="s">
        <v>274</v>
      </c>
      <c r="C95" s="4" t="s">
        <v>284</v>
      </c>
      <c r="D95" s="37">
        <v>57.5</v>
      </c>
      <c r="E95" s="38">
        <v>50.506851541995999</v>
      </c>
    </row>
  </sheetData>
  <mergeCells count="2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A32:J32"/>
    <mergeCell ref="A39:J39"/>
    <mergeCell ref="A43:J43"/>
    <mergeCell ref="A46:J46"/>
    <mergeCell ref="A8:J8"/>
    <mergeCell ref="A12:J12"/>
    <mergeCell ref="A16:J16"/>
    <mergeCell ref="A19:J19"/>
    <mergeCell ref="A24:J24"/>
    <mergeCell ref="A27:J2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4.42578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26.42578125" style="4" bestFit="1" customWidth="1"/>
    <col min="14" max="16384" width="9.140625" style="3"/>
  </cols>
  <sheetData>
    <row r="1" spans="1:13" s="2" customFormat="1" ht="29.1" customHeight="1" x14ac:dyDescent="0.2">
      <c r="A1" s="82" t="s">
        <v>706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690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45">
        <v>1</v>
      </c>
      <c r="H4" s="45">
        <v>2</v>
      </c>
      <c r="I4" s="45">
        <v>3</v>
      </c>
      <c r="J4" s="45" t="s">
        <v>5</v>
      </c>
      <c r="K4" s="76"/>
      <c r="L4" s="76"/>
      <c r="M4" s="79"/>
    </row>
    <row r="5" spans="1:13" ht="15" x14ac:dyDescent="0.2">
      <c r="A5" s="80" t="s">
        <v>91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11" t="s">
        <v>328</v>
      </c>
      <c r="B6" s="11" t="s">
        <v>329</v>
      </c>
      <c r="C6" s="11" t="s">
        <v>330</v>
      </c>
      <c r="D6" s="12" t="str">
        <f>"0,8647"</f>
        <v>0,8647</v>
      </c>
      <c r="E6" s="11" t="s">
        <v>222</v>
      </c>
      <c r="F6" s="11" t="s">
        <v>195</v>
      </c>
      <c r="G6" s="13" t="s">
        <v>141</v>
      </c>
      <c r="H6" s="13" t="s">
        <v>132</v>
      </c>
      <c r="I6" s="14" t="s">
        <v>83</v>
      </c>
      <c r="J6" s="14"/>
      <c r="K6" s="15" t="str">
        <f>"47,5"</f>
        <v>47,5</v>
      </c>
      <c r="L6" s="16" t="str">
        <f>"41,0709"</f>
        <v>41,0709</v>
      </c>
      <c r="M6" s="11" t="s">
        <v>224</v>
      </c>
    </row>
    <row r="7" spans="1:13" x14ac:dyDescent="0.2">
      <c r="A7" s="17" t="s">
        <v>687</v>
      </c>
      <c r="B7" s="17" t="s">
        <v>325</v>
      </c>
      <c r="C7" s="17" t="s">
        <v>326</v>
      </c>
      <c r="D7" s="18" t="str">
        <f>"0,9284"</f>
        <v>0,9284</v>
      </c>
      <c r="E7" s="17" t="s">
        <v>222</v>
      </c>
      <c r="F7" s="17" t="s">
        <v>195</v>
      </c>
      <c r="G7" s="19" t="s">
        <v>85</v>
      </c>
      <c r="H7" s="20" t="s">
        <v>108</v>
      </c>
      <c r="I7" s="19" t="s">
        <v>108</v>
      </c>
      <c r="J7" s="20"/>
      <c r="K7" s="21" t="str">
        <f>"35,0"</f>
        <v>35,0</v>
      </c>
      <c r="L7" s="22" t="str">
        <f>"32,4940"</f>
        <v>32,4940</v>
      </c>
      <c r="M7" s="17" t="s">
        <v>199</v>
      </c>
    </row>
    <row r="9" spans="1:13" ht="15" x14ac:dyDescent="0.2">
      <c r="A9" s="83" t="s">
        <v>112</v>
      </c>
      <c r="B9" s="84"/>
      <c r="C9" s="84"/>
      <c r="D9" s="84"/>
      <c r="E9" s="84"/>
      <c r="F9" s="84"/>
      <c r="G9" s="84"/>
      <c r="H9" s="84"/>
      <c r="I9" s="84"/>
      <c r="J9" s="84"/>
    </row>
    <row r="10" spans="1:13" x14ac:dyDescent="0.2">
      <c r="A10" s="11" t="s">
        <v>332</v>
      </c>
      <c r="B10" s="11" t="s">
        <v>333</v>
      </c>
      <c r="C10" s="11" t="s">
        <v>334</v>
      </c>
      <c r="D10" s="12" t="str">
        <f>"0,7852"</f>
        <v>0,7852</v>
      </c>
      <c r="E10" s="11" t="s">
        <v>222</v>
      </c>
      <c r="F10" s="11" t="s">
        <v>195</v>
      </c>
      <c r="G10" s="13"/>
      <c r="H10" s="14" t="s">
        <v>132</v>
      </c>
      <c r="I10" s="14" t="s">
        <v>132</v>
      </c>
      <c r="J10" s="14"/>
      <c r="K10" s="15" t="str">
        <f>"42,5"</f>
        <v>42,5</v>
      </c>
      <c r="L10" s="16" t="str">
        <f>"33,3710"</f>
        <v>33,3710</v>
      </c>
      <c r="M10" s="11" t="s">
        <v>335</v>
      </c>
    </row>
    <row r="11" spans="1:13" x14ac:dyDescent="0.2">
      <c r="A11" s="17" t="s">
        <v>686</v>
      </c>
      <c r="B11" s="17" t="s">
        <v>533</v>
      </c>
      <c r="C11" s="17" t="s">
        <v>534</v>
      </c>
      <c r="D11" s="18" t="str">
        <f>"0,7964"</f>
        <v>0,7964</v>
      </c>
      <c r="E11" s="17" t="s">
        <v>222</v>
      </c>
      <c r="F11" s="17" t="s">
        <v>195</v>
      </c>
      <c r="G11" s="19" t="s">
        <v>678</v>
      </c>
      <c r="H11" s="20" t="s">
        <v>86</v>
      </c>
      <c r="I11" s="19" t="s">
        <v>86</v>
      </c>
      <c r="J11" s="20"/>
      <c r="K11" s="21" t="str">
        <f>"32,5"</f>
        <v>32,5</v>
      </c>
      <c r="L11" s="22" t="str">
        <f>"25,8830"</f>
        <v>25,8830</v>
      </c>
      <c r="M11" s="17" t="s">
        <v>224</v>
      </c>
    </row>
    <row r="13" spans="1:13" ht="15" x14ac:dyDescent="0.2">
      <c r="A13" s="83" t="s">
        <v>121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3" x14ac:dyDescent="0.2">
      <c r="A14" s="23" t="s">
        <v>397</v>
      </c>
      <c r="B14" s="23" t="s">
        <v>398</v>
      </c>
      <c r="C14" s="23" t="s">
        <v>399</v>
      </c>
      <c r="D14" s="24" t="str">
        <f>"0,7717"</f>
        <v>0,7717</v>
      </c>
      <c r="E14" s="23" t="s">
        <v>194</v>
      </c>
      <c r="F14" s="23" t="s">
        <v>195</v>
      </c>
      <c r="G14" s="25" t="s">
        <v>702</v>
      </c>
      <c r="H14" s="26" t="s">
        <v>678</v>
      </c>
      <c r="I14" s="26" t="s">
        <v>678</v>
      </c>
      <c r="J14" s="26"/>
      <c r="K14" s="27" t="str">
        <f>"22,5"</f>
        <v>22,5</v>
      </c>
      <c r="L14" s="28" t="str">
        <f>"17,3633"</f>
        <v>17,3633</v>
      </c>
      <c r="M14" s="23" t="s">
        <v>199</v>
      </c>
    </row>
    <row r="16" spans="1:13" ht="15" x14ac:dyDescent="0.2">
      <c r="A16" s="83" t="s">
        <v>112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3" x14ac:dyDescent="0.2">
      <c r="A17" s="23" t="s">
        <v>684</v>
      </c>
      <c r="B17" s="23" t="s">
        <v>683</v>
      </c>
      <c r="C17" s="23" t="s">
        <v>682</v>
      </c>
      <c r="D17" s="24" t="str">
        <f>"0,7357"</f>
        <v>0,7357</v>
      </c>
      <c r="E17" s="23" t="s">
        <v>222</v>
      </c>
      <c r="F17" s="23" t="s">
        <v>373</v>
      </c>
      <c r="G17" s="25" t="s">
        <v>83</v>
      </c>
      <c r="H17" s="25" t="s">
        <v>98</v>
      </c>
      <c r="I17" s="26" t="s">
        <v>297</v>
      </c>
      <c r="J17" s="26"/>
      <c r="K17" s="27" t="str">
        <f>"55,0"</f>
        <v>55,0</v>
      </c>
      <c r="L17" s="28" t="str">
        <f>"40,4635"</f>
        <v>40,4635</v>
      </c>
      <c r="M17" s="23" t="s">
        <v>224</v>
      </c>
    </row>
    <row r="19" spans="1:13" ht="15" x14ac:dyDescent="0.2">
      <c r="A19" s="83" t="s">
        <v>121</v>
      </c>
      <c r="B19" s="84"/>
      <c r="C19" s="84"/>
      <c r="D19" s="84"/>
      <c r="E19" s="84"/>
      <c r="F19" s="84"/>
      <c r="G19" s="84"/>
      <c r="H19" s="84"/>
      <c r="I19" s="84"/>
      <c r="J19" s="84"/>
    </row>
    <row r="20" spans="1:13" x14ac:dyDescent="0.2">
      <c r="A20" s="23" t="s">
        <v>705</v>
      </c>
      <c r="B20" s="23" t="s">
        <v>342</v>
      </c>
      <c r="C20" s="23" t="s">
        <v>343</v>
      </c>
      <c r="D20" s="24" t="str">
        <f>"0,6673"</f>
        <v>0,6673</v>
      </c>
      <c r="E20" s="23" t="s">
        <v>222</v>
      </c>
      <c r="F20" s="23" t="s">
        <v>195</v>
      </c>
      <c r="G20" s="25" t="s">
        <v>99</v>
      </c>
      <c r="H20" s="25" t="s">
        <v>100</v>
      </c>
      <c r="I20" s="26" t="s">
        <v>292</v>
      </c>
      <c r="J20" s="26"/>
      <c r="K20" s="27" t="str">
        <f>"65,0"</f>
        <v>65,0</v>
      </c>
      <c r="L20" s="28" t="str">
        <f>"43,3745"</f>
        <v>43,3745</v>
      </c>
      <c r="M20" s="23" t="s">
        <v>335</v>
      </c>
    </row>
    <row r="22" spans="1:13" ht="15" x14ac:dyDescent="0.2">
      <c r="A22" s="83" t="s">
        <v>171</v>
      </c>
      <c r="B22" s="84"/>
      <c r="C22" s="84"/>
      <c r="D22" s="84"/>
      <c r="E22" s="84"/>
      <c r="F22" s="84"/>
      <c r="G22" s="84"/>
      <c r="H22" s="84"/>
      <c r="I22" s="84"/>
      <c r="J22" s="84"/>
    </row>
    <row r="23" spans="1:13" x14ac:dyDescent="0.2">
      <c r="A23" s="23" t="s">
        <v>345</v>
      </c>
      <c r="B23" s="23" t="s">
        <v>346</v>
      </c>
      <c r="C23" s="23" t="s">
        <v>347</v>
      </c>
      <c r="D23" s="24" t="str">
        <f>"0,6193"</f>
        <v>0,6193</v>
      </c>
      <c r="E23" s="23" t="s">
        <v>222</v>
      </c>
      <c r="F23" s="23" t="s">
        <v>195</v>
      </c>
      <c r="G23" s="25" t="s">
        <v>106</v>
      </c>
      <c r="H23" s="26" t="s">
        <v>89</v>
      </c>
      <c r="I23" s="25" t="s">
        <v>89</v>
      </c>
      <c r="J23" s="26"/>
      <c r="K23" s="27" t="str">
        <f>"90,0"</f>
        <v>90,0</v>
      </c>
      <c r="L23" s="28" t="str">
        <f>"55,7370"</f>
        <v>55,7370</v>
      </c>
      <c r="M23" s="23" t="s">
        <v>335</v>
      </c>
    </row>
    <row r="25" spans="1:13" ht="15" x14ac:dyDescent="0.2">
      <c r="A25" s="83" t="s">
        <v>17</v>
      </c>
      <c r="B25" s="84"/>
      <c r="C25" s="84"/>
      <c r="D25" s="84"/>
      <c r="E25" s="84"/>
      <c r="F25" s="84"/>
      <c r="G25" s="84"/>
      <c r="H25" s="84"/>
      <c r="I25" s="84"/>
      <c r="J25" s="84"/>
    </row>
    <row r="26" spans="1:13" x14ac:dyDescent="0.2">
      <c r="A26" s="23" t="s">
        <v>363</v>
      </c>
      <c r="B26" s="23" t="s">
        <v>364</v>
      </c>
      <c r="C26" s="23" t="s">
        <v>365</v>
      </c>
      <c r="D26" s="24" t="str">
        <f>"0,5639"</f>
        <v>0,5639</v>
      </c>
      <c r="E26" s="23" t="s">
        <v>222</v>
      </c>
      <c r="F26" s="23" t="s">
        <v>195</v>
      </c>
      <c r="G26" s="25" t="s">
        <v>96</v>
      </c>
      <c r="H26" s="25" t="s">
        <v>168</v>
      </c>
      <c r="I26" s="25" t="s">
        <v>97</v>
      </c>
      <c r="J26" s="26"/>
      <c r="K26" s="27" t="str">
        <f>"110,0"</f>
        <v>110,0</v>
      </c>
      <c r="L26" s="28" t="str">
        <f>"62,0290"</f>
        <v>62,0290</v>
      </c>
      <c r="M26" s="23" t="s">
        <v>335</v>
      </c>
    </row>
    <row r="28" spans="1:13" ht="15" x14ac:dyDescent="0.2">
      <c r="E28" s="29" t="s">
        <v>57</v>
      </c>
    </row>
    <row r="29" spans="1:13" ht="15" x14ac:dyDescent="0.2">
      <c r="E29" s="29" t="s">
        <v>58</v>
      </c>
    </row>
    <row r="30" spans="1:13" ht="15" x14ac:dyDescent="0.2">
      <c r="E30" s="29" t="s">
        <v>59</v>
      </c>
    </row>
    <row r="31" spans="1:13" ht="15" x14ac:dyDescent="0.2">
      <c r="E31" s="29" t="s">
        <v>60</v>
      </c>
    </row>
    <row r="32" spans="1:13" ht="15" x14ac:dyDescent="0.2">
      <c r="E32" s="29" t="s">
        <v>60</v>
      </c>
    </row>
    <row r="33" spans="1:5" ht="15" x14ac:dyDescent="0.2">
      <c r="E33" s="29" t="s">
        <v>61</v>
      </c>
    </row>
    <row r="34" spans="1:5" ht="15" x14ac:dyDescent="0.2">
      <c r="E34" s="29"/>
    </row>
    <row r="36" spans="1:5" ht="18" x14ac:dyDescent="0.25">
      <c r="A36" s="30" t="s">
        <v>62</v>
      </c>
      <c r="B36" s="30"/>
    </row>
    <row r="37" spans="1:5" ht="15" x14ac:dyDescent="0.2">
      <c r="A37" s="31" t="s">
        <v>266</v>
      </c>
      <c r="B37" s="31"/>
    </row>
    <row r="38" spans="1:5" ht="14.25" x14ac:dyDescent="0.2">
      <c r="A38" s="33"/>
      <c r="B38" s="34" t="s">
        <v>64</v>
      </c>
    </row>
    <row r="39" spans="1:5" ht="15" x14ac:dyDescent="0.2">
      <c r="A39" s="35" t="s">
        <v>65</v>
      </c>
      <c r="B39" s="35" t="s">
        <v>66</v>
      </c>
      <c r="C39" s="35" t="s">
        <v>67</v>
      </c>
      <c r="D39" s="36" t="s">
        <v>366</v>
      </c>
      <c r="E39" s="35" t="s">
        <v>69</v>
      </c>
    </row>
    <row r="40" spans="1:5" x14ac:dyDescent="0.2">
      <c r="A40" s="32" t="s">
        <v>327</v>
      </c>
      <c r="B40" s="4" t="s">
        <v>64</v>
      </c>
      <c r="C40" s="4" t="s">
        <v>270</v>
      </c>
      <c r="D40" s="37">
        <v>47.5</v>
      </c>
      <c r="E40" s="38">
        <v>41.070875525474499</v>
      </c>
    </row>
    <row r="41" spans="1:5" x14ac:dyDescent="0.2">
      <c r="A41" s="32" t="s">
        <v>331</v>
      </c>
      <c r="B41" s="4" t="s">
        <v>64</v>
      </c>
      <c r="C41" s="4" t="s">
        <v>269</v>
      </c>
      <c r="D41" s="37">
        <v>42.5</v>
      </c>
      <c r="E41" s="38">
        <v>33.370999991893797</v>
      </c>
    </row>
    <row r="42" spans="1:5" x14ac:dyDescent="0.2">
      <c r="A42" s="32" t="s">
        <v>323</v>
      </c>
      <c r="B42" s="4" t="s">
        <v>64</v>
      </c>
      <c r="C42" s="4" t="s">
        <v>270</v>
      </c>
      <c r="D42" s="37">
        <v>35</v>
      </c>
      <c r="E42" s="38">
        <v>32.493999302387202</v>
      </c>
    </row>
    <row r="43" spans="1:5" x14ac:dyDescent="0.2">
      <c r="A43" s="32" t="s">
        <v>531</v>
      </c>
      <c r="B43" s="4" t="s">
        <v>64</v>
      </c>
      <c r="C43" s="4" t="s">
        <v>269</v>
      </c>
      <c r="D43" s="37">
        <v>32.5</v>
      </c>
      <c r="E43" s="38">
        <v>25.883000344037999</v>
      </c>
    </row>
    <row r="44" spans="1:5" x14ac:dyDescent="0.2">
      <c r="A44" s="32" t="s">
        <v>396</v>
      </c>
      <c r="B44" s="4" t="s">
        <v>64</v>
      </c>
      <c r="C44" s="4" t="s">
        <v>271</v>
      </c>
      <c r="D44" s="37">
        <v>22.5</v>
      </c>
      <c r="E44" s="38">
        <v>17.363250553607902</v>
      </c>
    </row>
    <row r="47" spans="1:5" ht="15" x14ac:dyDescent="0.2">
      <c r="A47" s="31" t="s">
        <v>63</v>
      </c>
      <c r="B47" s="31"/>
    </row>
    <row r="48" spans="1:5" ht="14.25" x14ac:dyDescent="0.2">
      <c r="A48" s="33"/>
      <c r="B48" s="34" t="s">
        <v>64</v>
      </c>
    </row>
    <row r="49" spans="1:5" ht="15" x14ac:dyDescent="0.2">
      <c r="A49" s="35" t="s">
        <v>65</v>
      </c>
      <c r="B49" s="35" t="s">
        <v>66</v>
      </c>
      <c r="C49" s="35" t="s">
        <v>67</v>
      </c>
      <c r="D49" s="36" t="s">
        <v>366</v>
      </c>
      <c r="E49" s="35" t="s">
        <v>69</v>
      </c>
    </row>
    <row r="50" spans="1:5" x14ac:dyDescent="0.2">
      <c r="A50" s="32" t="s">
        <v>362</v>
      </c>
      <c r="B50" s="4" t="s">
        <v>64</v>
      </c>
      <c r="C50" s="4" t="s">
        <v>70</v>
      </c>
      <c r="D50" s="37">
        <v>110</v>
      </c>
      <c r="E50" s="38">
        <v>62.028999328613303</v>
      </c>
    </row>
    <row r="51" spans="1:5" x14ac:dyDescent="0.2">
      <c r="A51" s="32" t="s">
        <v>344</v>
      </c>
      <c r="B51" s="4" t="s">
        <v>64</v>
      </c>
      <c r="C51" s="4" t="s">
        <v>280</v>
      </c>
      <c r="D51" s="37">
        <v>90</v>
      </c>
      <c r="E51" s="38">
        <v>55.737000703811603</v>
      </c>
    </row>
    <row r="52" spans="1:5" x14ac:dyDescent="0.2">
      <c r="A52" s="32" t="s">
        <v>340</v>
      </c>
      <c r="B52" s="4" t="s">
        <v>64</v>
      </c>
      <c r="C52" s="4" t="s">
        <v>271</v>
      </c>
      <c r="D52" s="37">
        <v>65</v>
      </c>
      <c r="E52" s="38">
        <v>43.374499082565301</v>
      </c>
    </row>
    <row r="53" spans="1:5" x14ac:dyDescent="0.2">
      <c r="A53" s="32" t="s">
        <v>680</v>
      </c>
      <c r="B53" s="4" t="s">
        <v>64</v>
      </c>
      <c r="C53" s="4" t="s">
        <v>269</v>
      </c>
      <c r="D53" s="37">
        <v>55</v>
      </c>
      <c r="E53" s="38">
        <v>40.463500618934603</v>
      </c>
    </row>
  </sheetData>
  <mergeCells count="18">
    <mergeCell ref="E3:E4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A22:J22"/>
    <mergeCell ref="A25:J25"/>
    <mergeCell ref="A5:J5"/>
    <mergeCell ref="A9:J9"/>
    <mergeCell ref="A13:J13"/>
    <mergeCell ref="A16:J16"/>
    <mergeCell ref="A19:J19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28515625" style="4" bestFit="1" customWidth="1"/>
    <col min="7" max="7" width="5.5703125" style="3" customWidth="1"/>
    <col min="8" max="8" width="10.42578125" style="3" customWidth="1"/>
    <col min="9" max="9" width="7.85546875" style="8" bestFit="1" customWidth="1"/>
    <col min="10" max="10" width="7.5703125" style="9" bestFit="1" customWidth="1"/>
    <col min="11" max="11" width="10.7109375" style="4" bestFit="1" customWidth="1"/>
    <col min="12" max="16384" width="9.140625" style="3"/>
  </cols>
  <sheetData>
    <row r="1" spans="1:11" s="2" customFormat="1" ht="29.1" customHeight="1" x14ac:dyDescent="0.2">
      <c r="A1" s="82" t="s">
        <v>720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719</v>
      </c>
      <c r="E3" s="77" t="s">
        <v>4</v>
      </c>
      <c r="F3" s="77" t="s">
        <v>8</v>
      </c>
      <c r="G3" s="77" t="s">
        <v>718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717</v>
      </c>
      <c r="B5" s="81"/>
      <c r="C5" s="81"/>
      <c r="D5" s="81"/>
      <c r="E5" s="81"/>
      <c r="F5" s="81"/>
      <c r="G5" s="81"/>
      <c r="H5" s="81"/>
    </row>
    <row r="6" spans="1:11" x14ac:dyDescent="0.2">
      <c r="A6" s="23" t="s">
        <v>716</v>
      </c>
      <c r="B6" s="23" t="s">
        <v>715</v>
      </c>
      <c r="C6" s="23" t="s">
        <v>714</v>
      </c>
      <c r="D6" s="24" t="str">
        <f>"1,0000"</f>
        <v>1,0000</v>
      </c>
      <c r="E6" s="23" t="s">
        <v>713</v>
      </c>
      <c r="F6" s="23" t="s">
        <v>489</v>
      </c>
      <c r="G6" s="25" t="s">
        <v>110</v>
      </c>
      <c r="H6" s="25" t="s">
        <v>712</v>
      </c>
      <c r="I6" s="27" t="str">
        <f>"4500,0"</f>
        <v>4500,0</v>
      </c>
      <c r="J6" s="28" t="str">
        <f>"51,7241"</f>
        <v>51,7241</v>
      </c>
      <c r="K6" s="23" t="s">
        <v>711</v>
      </c>
    </row>
    <row r="8" spans="1:11" ht="15" x14ac:dyDescent="0.2">
      <c r="E8" s="29" t="s">
        <v>57</v>
      </c>
    </row>
    <row r="9" spans="1:11" ht="15" x14ac:dyDescent="0.2">
      <c r="E9" s="29" t="s">
        <v>58</v>
      </c>
    </row>
    <row r="10" spans="1:11" ht="15" x14ac:dyDescent="0.2">
      <c r="E10" s="29" t="s">
        <v>59</v>
      </c>
    </row>
    <row r="11" spans="1:11" ht="15" x14ac:dyDescent="0.2">
      <c r="E11" s="29" t="s">
        <v>60</v>
      </c>
    </row>
    <row r="12" spans="1:11" ht="15" x14ac:dyDescent="0.2">
      <c r="E12" s="29" t="s">
        <v>60</v>
      </c>
    </row>
    <row r="13" spans="1:11" ht="15" x14ac:dyDescent="0.2">
      <c r="E13" s="29" t="s">
        <v>61</v>
      </c>
    </row>
    <row r="14" spans="1:11" ht="15" x14ac:dyDescent="0.2">
      <c r="E14" s="29"/>
    </row>
    <row r="16" spans="1:11" ht="18" x14ac:dyDescent="0.25">
      <c r="A16" s="30" t="s">
        <v>62</v>
      </c>
      <c r="B16" s="30"/>
    </row>
    <row r="17" spans="1:5" ht="15" x14ac:dyDescent="0.2">
      <c r="A17" s="31" t="s">
        <v>266</v>
      </c>
      <c r="B17" s="31"/>
    </row>
    <row r="18" spans="1:5" ht="14.25" x14ac:dyDescent="0.2">
      <c r="A18" s="33"/>
      <c r="B18" s="34" t="s">
        <v>73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710</v>
      </c>
    </row>
    <row r="20" spans="1:5" x14ac:dyDescent="0.2">
      <c r="A20" s="32" t="s">
        <v>709</v>
      </c>
      <c r="B20" s="4" t="s">
        <v>708</v>
      </c>
      <c r="C20" s="4" t="s">
        <v>707</v>
      </c>
      <c r="D20" s="37">
        <v>4500</v>
      </c>
      <c r="E20" s="38">
        <v>51.7241</v>
      </c>
    </row>
  </sheetData>
  <mergeCells count="12"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8" bestFit="1" customWidth="1"/>
    <col min="10" max="10" width="7.5703125" style="9" bestFit="1" customWidth="1"/>
    <col min="11" max="11" width="27.5703125" style="4" bestFit="1" customWidth="1"/>
    <col min="12" max="16384" width="9.140625" style="3"/>
  </cols>
  <sheetData>
    <row r="1" spans="1:11" s="2" customFormat="1" ht="29.1" customHeight="1" x14ac:dyDescent="0.2">
      <c r="A1" s="82" t="s">
        <v>725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719</v>
      </c>
      <c r="E3" s="77" t="s">
        <v>4</v>
      </c>
      <c r="F3" s="77" t="s">
        <v>8</v>
      </c>
      <c r="G3" s="77" t="s">
        <v>718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717</v>
      </c>
      <c r="B5" s="81"/>
      <c r="C5" s="81"/>
      <c r="D5" s="81"/>
      <c r="E5" s="81"/>
      <c r="F5" s="81"/>
      <c r="G5" s="81"/>
      <c r="H5" s="81"/>
    </row>
    <row r="6" spans="1:11" x14ac:dyDescent="0.2">
      <c r="A6" s="23" t="s">
        <v>504</v>
      </c>
      <c r="B6" s="23" t="s">
        <v>505</v>
      </c>
      <c r="C6" s="23" t="s">
        <v>506</v>
      </c>
      <c r="D6" s="24" t="str">
        <f>"1,0000"</f>
        <v>1,0000</v>
      </c>
      <c r="E6" s="23" t="s">
        <v>507</v>
      </c>
      <c r="F6" s="23" t="s">
        <v>240</v>
      </c>
      <c r="G6" s="25" t="s">
        <v>96</v>
      </c>
      <c r="H6" s="25" t="s">
        <v>724</v>
      </c>
      <c r="I6" s="27" t="str">
        <f>"1600,0"</f>
        <v>1600,0</v>
      </c>
      <c r="J6" s="28" t="str">
        <f>"32,0000"</f>
        <v>32,0000</v>
      </c>
      <c r="K6" s="23" t="s">
        <v>508</v>
      </c>
    </row>
    <row r="8" spans="1:11" ht="15" x14ac:dyDescent="0.2">
      <c r="A8" s="83" t="s">
        <v>717</v>
      </c>
      <c r="B8" s="84"/>
      <c r="C8" s="84"/>
      <c r="D8" s="84"/>
      <c r="E8" s="84"/>
      <c r="F8" s="84"/>
      <c r="G8" s="84"/>
      <c r="H8" s="84"/>
    </row>
    <row r="9" spans="1:11" x14ac:dyDescent="0.2">
      <c r="A9" s="11" t="s">
        <v>559</v>
      </c>
      <c r="B9" s="11" t="s">
        <v>560</v>
      </c>
      <c r="C9" s="11" t="s">
        <v>506</v>
      </c>
      <c r="D9" s="12" t="str">
        <f>"1,0000"</f>
        <v>1,0000</v>
      </c>
      <c r="E9" s="11" t="s">
        <v>561</v>
      </c>
      <c r="F9" s="11" t="s">
        <v>562</v>
      </c>
      <c r="G9" s="13" t="s">
        <v>96</v>
      </c>
      <c r="H9" s="13" t="s">
        <v>722</v>
      </c>
      <c r="I9" s="15" t="str">
        <f>"2100,0"</f>
        <v>2100,0</v>
      </c>
      <c r="J9" s="16" t="str">
        <f>"42,0000"</f>
        <v>42,0000</v>
      </c>
      <c r="K9" s="11" t="s">
        <v>563</v>
      </c>
    </row>
    <row r="10" spans="1:11" x14ac:dyDescent="0.2">
      <c r="A10" s="39" t="s">
        <v>582</v>
      </c>
      <c r="B10" s="39" t="s">
        <v>583</v>
      </c>
      <c r="C10" s="39" t="s">
        <v>584</v>
      </c>
      <c r="D10" s="40" t="str">
        <f>"1,0000"</f>
        <v>1,0000</v>
      </c>
      <c r="E10" s="39" t="s">
        <v>585</v>
      </c>
      <c r="F10" s="39" t="s">
        <v>562</v>
      </c>
      <c r="G10" s="41" t="s">
        <v>96</v>
      </c>
      <c r="H10" s="41" t="s">
        <v>99</v>
      </c>
      <c r="I10" s="43" t="str">
        <f>"6000,0"</f>
        <v>6000,0</v>
      </c>
      <c r="J10" s="44" t="str">
        <f>"82,3045"</f>
        <v>82,3045</v>
      </c>
      <c r="K10" s="39" t="s">
        <v>587</v>
      </c>
    </row>
    <row r="11" spans="1:11" x14ac:dyDescent="0.2">
      <c r="A11" s="39" t="s">
        <v>723</v>
      </c>
      <c r="B11" s="39" t="s">
        <v>564</v>
      </c>
      <c r="C11" s="39" t="s">
        <v>506</v>
      </c>
      <c r="D11" s="40" t="str">
        <f>"1,0000"</f>
        <v>1,0000</v>
      </c>
      <c r="E11" s="39" t="s">
        <v>561</v>
      </c>
      <c r="F11" s="39" t="s">
        <v>562</v>
      </c>
      <c r="G11" s="41" t="s">
        <v>96</v>
      </c>
      <c r="H11" s="41" t="s">
        <v>722</v>
      </c>
      <c r="I11" s="43" t="str">
        <f>"2100,0"</f>
        <v>2100,0</v>
      </c>
      <c r="J11" s="44" t="str">
        <f>"42,0000"</f>
        <v>42,0000</v>
      </c>
      <c r="K11" s="39" t="s">
        <v>563</v>
      </c>
    </row>
    <row r="12" spans="1:11" x14ac:dyDescent="0.2">
      <c r="A12" s="17" t="s">
        <v>582</v>
      </c>
      <c r="B12" s="17" t="s">
        <v>721</v>
      </c>
      <c r="C12" s="17" t="s">
        <v>584</v>
      </c>
      <c r="D12" s="18" t="str">
        <f>"1,0000"</f>
        <v>1,0000</v>
      </c>
      <c r="E12" s="17" t="s">
        <v>585</v>
      </c>
      <c r="F12" s="17" t="s">
        <v>562</v>
      </c>
      <c r="G12" s="19" t="s">
        <v>96</v>
      </c>
      <c r="H12" s="19" t="s">
        <v>99</v>
      </c>
      <c r="I12" s="21" t="str">
        <f>"6000,0"</f>
        <v>6000,0</v>
      </c>
      <c r="J12" s="22" t="str">
        <f>"82,3045"</f>
        <v>82,3045</v>
      </c>
      <c r="K12" s="17" t="s">
        <v>587</v>
      </c>
    </row>
    <row r="14" spans="1:11" ht="15" x14ac:dyDescent="0.2">
      <c r="E14" s="29" t="s">
        <v>57</v>
      </c>
    </row>
    <row r="15" spans="1:11" ht="15" x14ac:dyDescent="0.2">
      <c r="E15" s="29" t="s">
        <v>58</v>
      </c>
    </row>
    <row r="16" spans="1:11" ht="15" x14ac:dyDescent="0.2">
      <c r="E16" s="29" t="s">
        <v>59</v>
      </c>
    </row>
    <row r="17" spans="1:5" ht="15" x14ac:dyDescent="0.2">
      <c r="E17" s="29" t="s">
        <v>60</v>
      </c>
    </row>
    <row r="18" spans="1:5" ht="15" x14ac:dyDescent="0.2">
      <c r="E18" s="29" t="s">
        <v>60</v>
      </c>
    </row>
    <row r="19" spans="1:5" ht="15" x14ac:dyDescent="0.2">
      <c r="E19" s="29" t="s">
        <v>61</v>
      </c>
    </row>
    <row r="20" spans="1:5" ht="15" x14ac:dyDescent="0.2">
      <c r="E20" s="29"/>
    </row>
    <row r="22" spans="1:5" ht="18" x14ac:dyDescent="0.25">
      <c r="A22" s="30" t="s">
        <v>62</v>
      </c>
      <c r="B22" s="30"/>
    </row>
    <row r="23" spans="1:5" ht="15" x14ac:dyDescent="0.2">
      <c r="A23" s="31" t="s">
        <v>266</v>
      </c>
      <c r="B23" s="31"/>
    </row>
    <row r="24" spans="1:5" ht="14.25" x14ac:dyDescent="0.2">
      <c r="A24" s="33"/>
      <c r="B24" s="34" t="s">
        <v>64</v>
      </c>
    </row>
    <row r="25" spans="1:5" ht="15" x14ac:dyDescent="0.2">
      <c r="A25" s="35" t="s">
        <v>65</v>
      </c>
      <c r="B25" s="35" t="s">
        <v>66</v>
      </c>
      <c r="C25" s="35" t="s">
        <v>67</v>
      </c>
      <c r="D25" s="36" t="s">
        <v>366</v>
      </c>
      <c r="E25" s="35" t="s">
        <v>710</v>
      </c>
    </row>
    <row r="26" spans="1:5" x14ac:dyDescent="0.2">
      <c r="A26" s="32" t="s">
        <v>503</v>
      </c>
      <c r="B26" s="4" t="s">
        <v>64</v>
      </c>
      <c r="C26" s="4" t="s">
        <v>707</v>
      </c>
      <c r="D26" s="37">
        <v>1600</v>
      </c>
      <c r="E26" s="38">
        <v>32</v>
      </c>
    </row>
    <row r="29" spans="1:5" ht="15" x14ac:dyDescent="0.2">
      <c r="A29" s="31" t="s">
        <v>63</v>
      </c>
      <c r="B29" s="31"/>
    </row>
    <row r="30" spans="1:5" ht="14.25" x14ac:dyDescent="0.2">
      <c r="A30" s="33"/>
      <c r="B30" s="34" t="s">
        <v>276</v>
      </c>
    </row>
    <row r="31" spans="1:5" ht="15" x14ac:dyDescent="0.2">
      <c r="A31" s="35" t="s">
        <v>65</v>
      </c>
      <c r="B31" s="35" t="s">
        <v>66</v>
      </c>
      <c r="C31" s="35" t="s">
        <v>67</v>
      </c>
      <c r="D31" s="36" t="s">
        <v>366</v>
      </c>
      <c r="E31" s="35" t="s">
        <v>710</v>
      </c>
    </row>
    <row r="32" spans="1:5" x14ac:dyDescent="0.2">
      <c r="A32" s="32" t="s">
        <v>558</v>
      </c>
      <c r="B32" s="4" t="s">
        <v>277</v>
      </c>
      <c r="C32" s="4" t="s">
        <v>707</v>
      </c>
      <c r="D32" s="37">
        <v>2100</v>
      </c>
      <c r="E32" s="38">
        <v>42</v>
      </c>
    </row>
    <row r="34" spans="1:5" ht="14.25" x14ac:dyDescent="0.2">
      <c r="A34" s="33"/>
      <c r="B34" s="34" t="s">
        <v>64</v>
      </c>
    </row>
    <row r="35" spans="1:5" ht="15" x14ac:dyDescent="0.2">
      <c r="A35" s="35" t="s">
        <v>65</v>
      </c>
      <c r="B35" s="35" t="s">
        <v>66</v>
      </c>
      <c r="C35" s="35" t="s">
        <v>67</v>
      </c>
      <c r="D35" s="36" t="s">
        <v>366</v>
      </c>
      <c r="E35" s="35" t="s">
        <v>710</v>
      </c>
    </row>
    <row r="36" spans="1:5" x14ac:dyDescent="0.2">
      <c r="A36" s="32" t="s">
        <v>581</v>
      </c>
      <c r="B36" s="4" t="s">
        <v>64</v>
      </c>
      <c r="C36" s="4" t="s">
        <v>707</v>
      </c>
      <c r="D36" s="37">
        <v>6000</v>
      </c>
      <c r="E36" s="38">
        <v>82.304500000000004</v>
      </c>
    </row>
    <row r="37" spans="1:5" x14ac:dyDescent="0.2">
      <c r="A37" s="32" t="s">
        <v>558</v>
      </c>
      <c r="B37" s="4" t="s">
        <v>64</v>
      </c>
      <c r="C37" s="4" t="s">
        <v>707</v>
      </c>
      <c r="D37" s="37">
        <v>2100</v>
      </c>
      <c r="E37" s="38">
        <v>42</v>
      </c>
    </row>
    <row r="39" spans="1:5" ht="14.25" x14ac:dyDescent="0.2">
      <c r="A39" s="33"/>
      <c r="B39" s="34" t="s">
        <v>73</v>
      </c>
    </row>
    <row r="40" spans="1:5" ht="15" x14ac:dyDescent="0.2">
      <c r="A40" s="35" t="s">
        <v>65</v>
      </c>
      <c r="B40" s="35" t="s">
        <v>66</v>
      </c>
      <c r="C40" s="35" t="s">
        <v>67</v>
      </c>
      <c r="D40" s="36" t="s">
        <v>366</v>
      </c>
      <c r="E40" s="35" t="s">
        <v>710</v>
      </c>
    </row>
    <row r="41" spans="1:5" x14ac:dyDescent="0.2">
      <c r="A41" s="32" t="s">
        <v>581</v>
      </c>
      <c r="B41" s="4" t="s">
        <v>708</v>
      </c>
      <c r="C41" s="4" t="s">
        <v>707</v>
      </c>
      <c r="D41" s="37">
        <v>6000</v>
      </c>
      <c r="E41" s="38">
        <v>82.304500000000004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425781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9" bestFit="1" customWidth="1"/>
    <col min="11" max="11" width="15.28515625" style="4" bestFit="1" customWidth="1"/>
    <col min="12" max="16384" width="9.140625" style="3"/>
  </cols>
  <sheetData>
    <row r="1" spans="1:11" s="2" customFormat="1" ht="29.1" customHeight="1" x14ac:dyDescent="0.2">
      <c r="A1" s="82" t="s">
        <v>730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719</v>
      </c>
      <c r="E3" s="77" t="s">
        <v>4</v>
      </c>
      <c r="F3" s="77" t="s">
        <v>8</v>
      </c>
      <c r="G3" s="77" t="s">
        <v>718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717</v>
      </c>
      <c r="B5" s="81"/>
      <c r="C5" s="81"/>
      <c r="D5" s="81"/>
      <c r="E5" s="81"/>
      <c r="F5" s="81"/>
      <c r="G5" s="81"/>
      <c r="H5" s="81"/>
    </row>
    <row r="6" spans="1:11" x14ac:dyDescent="0.2">
      <c r="A6" s="23" t="s">
        <v>729</v>
      </c>
      <c r="B6" s="23" t="s">
        <v>728</v>
      </c>
      <c r="C6" s="23" t="s">
        <v>525</v>
      </c>
      <c r="D6" s="24" t="str">
        <f>"1,0000"</f>
        <v>1,0000</v>
      </c>
      <c r="E6" s="23" t="s">
        <v>22</v>
      </c>
      <c r="F6" s="23" t="s">
        <v>23</v>
      </c>
      <c r="G6" s="25" t="s">
        <v>105</v>
      </c>
      <c r="H6" s="25" t="s">
        <v>727</v>
      </c>
      <c r="I6" s="27" t="str">
        <f>"2325,0"</f>
        <v>2325,0</v>
      </c>
      <c r="J6" s="28" t="str">
        <f>"41,8918"</f>
        <v>41,8918</v>
      </c>
      <c r="K6" s="23" t="s">
        <v>33</v>
      </c>
    </row>
    <row r="8" spans="1:11" ht="15" x14ac:dyDescent="0.2">
      <c r="E8" s="29" t="s">
        <v>57</v>
      </c>
    </row>
    <row r="9" spans="1:11" ht="15" x14ac:dyDescent="0.2">
      <c r="E9" s="29" t="s">
        <v>58</v>
      </c>
    </row>
    <row r="10" spans="1:11" ht="15" x14ac:dyDescent="0.2">
      <c r="E10" s="29" t="s">
        <v>59</v>
      </c>
    </row>
    <row r="11" spans="1:11" ht="15" x14ac:dyDescent="0.2">
      <c r="E11" s="29" t="s">
        <v>60</v>
      </c>
    </row>
    <row r="12" spans="1:11" ht="15" x14ac:dyDescent="0.2">
      <c r="E12" s="29" t="s">
        <v>60</v>
      </c>
    </row>
    <row r="13" spans="1:11" ht="15" x14ac:dyDescent="0.2">
      <c r="E13" s="29" t="s">
        <v>61</v>
      </c>
    </row>
    <row r="14" spans="1:11" ht="15" x14ac:dyDescent="0.2">
      <c r="E14" s="29"/>
    </row>
    <row r="16" spans="1:11" ht="18" x14ac:dyDescent="0.25">
      <c r="A16" s="30" t="s">
        <v>62</v>
      </c>
      <c r="B16" s="30"/>
    </row>
    <row r="17" spans="1:5" ht="15" x14ac:dyDescent="0.2">
      <c r="A17" s="31" t="s">
        <v>266</v>
      </c>
      <c r="B17" s="31"/>
    </row>
    <row r="18" spans="1:5" ht="14.25" x14ac:dyDescent="0.2">
      <c r="A18" s="33"/>
      <c r="B18" s="34" t="s">
        <v>64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710</v>
      </c>
    </row>
    <row r="20" spans="1:5" x14ac:dyDescent="0.2">
      <c r="A20" s="32" t="s">
        <v>726</v>
      </c>
      <c r="B20" s="4" t="s">
        <v>64</v>
      </c>
      <c r="C20" s="4" t="s">
        <v>707</v>
      </c>
      <c r="D20" s="37">
        <v>2325</v>
      </c>
      <c r="E20" s="38">
        <v>41.891800000000003</v>
      </c>
    </row>
  </sheetData>
  <mergeCells count="12"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J15" sqref="J15:J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9" bestFit="1" customWidth="1"/>
    <col min="11" max="11" width="17.85546875" style="4" bestFit="1" customWidth="1"/>
    <col min="12" max="12" width="12.42578125" style="3" customWidth="1"/>
    <col min="13" max="16384" width="9.140625" style="3"/>
  </cols>
  <sheetData>
    <row r="1" spans="1:12" s="2" customFormat="1" ht="29.1" customHeight="1" x14ac:dyDescent="0.2">
      <c r="A1" s="82" t="s">
        <v>743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2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2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719</v>
      </c>
      <c r="E3" s="77" t="s">
        <v>4</v>
      </c>
      <c r="F3" s="77" t="s">
        <v>8</v>
      </c>
      <c r="G3" s="77" t="s">
        <v>718</v>
      </c>
      <c r="H3" s="77"/>
      <c r="I3" s="75" t="s">
        <v>368</v>
      </c>
      <c r="J3" s="75" t="s">
        <v>3</v>
      </c>
      <c r="K3" s="78" t="s">
        <v>2</v>
      </c>
    </row>
    <row r="4" spans="1:12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2" ht="15" x14ac:dyDescent="0.2">
      <c r="A5" s="80" t="s">
        <v>717</v>
      </c>
      <c r="B5" s="81"/>
      <c r="C5" s="81"/>
      <c r="D5" s="81"/>
      <c r="E5" s="81"/>
      <c r="F5" s="81"/>
      <c r="G5" s="81"/>
      <c r="H5" s="81"/>
    </row>
    <row r="6" spans="1:12" x14ac:dyDescent="0.2">
      <c r="A6" s="11" t="s">
        <v>742</v>
      </c>
      <c r="B6" s="11" t="s">
        <v>741</v>
      </c>
      <c r="C6" s="11" t="s">
        <v>740</v>
      </c>
      <c r="D6" s="12" t="str">
        <f>"1,0000"</f>
        <v>1,0000</v>
      </c>
      <c r="E6" s="11" t="s">
        <v>194</v>
      </c>
      <c r="F6" s="11" t="s">
        <v>118</v>
      </c>
      <c r="G6" s="13" t="s">
        <v>98</v>
      </c>
      <c r="H6" s="13" t="s">
        <v>88</v>
      </c>
      <c r="I6" s="15" t="str">
        <f>"4400,0"</f>
        <v>4400,0</v>
      </c>
      <c r="J6" s="16" t="str">
        <f>"62,9470"</f>
        <v>62,9470</v>
      </c>
      <c r="K6" s="11" t="s">
        <v>119</v>
      </c>
    </row>
    <row r="7" spans="1:12" x14ac:dyDescent="0.2">
      <c r="A7" s="85" t="s">
        <v>739</v>
      </c>
      <c r="B7" s="85" t="s">
        <v>738</v>
      </c>
      <c r="C7" s="85" t="s">
        <v>733</v>
      </c>
      <c r="D7" s="89" t="str">
        <f>"1,0000"</f>
        <v>1,0000</v>
      </c>
      <c r="E7" s="85" t="s">
        <v>22</v>
      </c>
      <c r="F7" s="85" t="s">
        <v>23</v>
      </c>
      <c r="G7" s="88" t="s">
        <v>98</v>
      </c>
      <c r="H7" s="88" t="s">
        <v>83</v>
      </c>
      <c r="I7" s="87" t="str">
        <f>"2750,0"</f>
        <v>2750,0</v>
      </c>
      <c r="J7" s="86" t="str">
        <f>"55,1102"</f>
        <v>55,1102</v>
      </c>
      <c r="K7" s="85" t="s">
        <v>33</v>
      </c>
      <c r="L7" s="3" t="s">
        <v>654</v>
      </c>
    </row>
    <row r="8" spans="1:12" x14ac:dyDescent="0.2">
      <c r="A8" s="39" t="s">
        <v>737</v>
      </c>
      <c r="B8" s="39" t="s">
        <v>511</v>
      </c>
      <c r="C8" s="39" t="s">
        <v>736</v>
      </c>
      <c r="D8" s="40" t="str">
        <f>"1,0000"</f>
        <v>1,0000</v>
      </c>
      <c r="E8" s="39" t="s">
        <v>22</v>
      </c>
      <c r="F8" s="39" t="s">
        <v>23</v>
      </c>
      <c r="G8" s="41" t="s">
        <v>98</v>
      </c>
      <c r="H8" s="41" t="s">
        <v>82</v>
      </c>
      <c r="I8" s="43" t="str">
        <f>"2475,0"</f>
        <v>2475,0</v>
      </c>
      <c r="J8" s="44" t="str">
        <f>"44,8369"</f>
        <v>44,8369</v>
      </c>
      <c r="K8" s="39" t="s">
        <v>33</v>
      </c>
    </row>
    <row r="9" spans="1:12" x14ac:dyDescent="0.2">
      <c r="A9" s="17" t="s">
        <v>735</v>
      </c>
      <c r="B9" s="17" t="s">
        <v>734</v>
      </c>
      <c r="C9" s="17" t="s">
        <v>733</v>
      </c>
      <c r="D9" s="18" t="str">
        <f>"1,0000"</f>
        <v>1,0000</v>
      </c>
      <c r="E9" s="17" t="s">
        <v>22</v>
      </c>
      <c r="F9" s="17" t="s">
        <v>23</v>
      </c>
      <c r="G9" s="19" t="s">
        <v>98</v>
      </c>
      <c r="H9" s="19" t="s">
        <v>83</v>
      </c>
      <c r="I9" s="21" t="str">
        <f>"2750,0"</f>
        <v>2750,0</v>
      </c>
      <c r="J9" s="22" t="str">
        <f>"55,1102"</f>
        <v>55,1102</v>
      </c>
      <c r="K9" s="17" t="s">
        <v>33</v>
      </c>
    </row>
    <row r="11" spans="1:12" ht="15" x14ac:dyDescent="0.2">
      <c r="E11" s="29" t="s">
        <v>57</v>
      </c>
    </row>
    <row r="12" spans="1:12" ht="15" x14ac:dyDescent="0.2">
      <c r="E12" s="29" t="s">
        <v>58</v>
      </c>
    </row>
    <row r="13" spans="1:12" ht="15" x14ac:dyDescent="0.2">
      <c r="E13" s="29" t="s">
        <v>59</v>
      </c>
    </row>
    <row r="14" spans="1:12" ht="15" x14ac:dyDescent="0.2">
      <c r="E14" s="29" t="s">
        <v>60</v>
      </c>
    </row>
    <row r="15" spans="1:12" ht="15" x14ac:dyDescent="0.2">
      <c r="E15" s="29" t="s">
        <v>60</v>
      </c>
    </row>
    <row r="16" spans="1:12" ht="15" x14ac:dyDescent="0.2">
      <c r="E16" s="29" t="s">
        <v>61</v>
      </c>
    </row>
    <row r="17" spans="1:5" ht="15" x14ac:dyDescent="0.2">
      <c r="E17" s="29"/>
    </row>
    <row r="19" spans="1:5" ht="18" x14ac:dyDescent="0.25">
      <c r="A19" s="30" t="s">
        <v>62</v>
      </c>
      <c r="B19" s="30"/>
    </row>
    <row r="20" spans="1:5" ht="15" x14ac:dyDescent="0.2">
      <c r="A20" s="31" t="s">
        <v>266</v>
      </c>
      <c r="B20" s="31"/>
    </row>
    <row r="21" spans="1:5" ht="14.25" x14ac:dyDescent="0.2">
      <c r="A21" s="33"/>
      <c r="B21" s="34" t="s">
        <v>64</v>
      </c>
    </row>
    <row r="22" spans="1:5" ht="15" x14ac:dyDescent="0.2">
      <c r="A22" s="35" t="s">
        <v>65</v>
      </c>
      <c r="B22" s="35" t="s">
        <v>66</v>
      </c>
      <c r="C22" s="35" t="s">
        <v>67</v>
      </c>
      <c r="D22" s="36" t="s">
        <v>366</v>
      </c>
      <c r="E22" s="35" t="s">
        <v>710</v>
      </c>
    </row>
    <row r="23" spans="1:5" x14ac:dyDescent="0.2">
      <c r="A23" s="32" t="s">
        <v>732</v>
      </c>
      <c r="B23" s="4" t="s">
        <v>64</v>
      </c>
      <c r="C23" s="4" t="s">
        <v>707</v>
      </c>
      <c r="D23" s="37">
        <v>4400</v>
      </c>
      <c r="E23" s="38">
        <v>62.947000000000003</v>
      </c>
    </row>
    <row r="24" spans="1:5" x14ac:dyDescent="0.2">
      <c r="A24" s="32" t="s">
        <v>731</v>
      </c>
      <c r="B24" s="4" t="s">
        <v>64</v>
      </c>
      <c r="C24" s="4" t="s">
        <v>707</v>
      </c>
      <c r="D24" s="37">
        <v>2750</v>
      </c>
      <c r="E24" s="38">
        <v>55.110199999999999</v>
      </c>
    </row>
    <row r="25" spans="1:5" x14ac:dyDescent="0.2">
      <c r="A25" s="32" t="s">
        <v>509</v>
      </c>
      <c r="B25" s="4" t="s">
        <v>64</v>
      </c>
      <c r="C25" s="4" t="s">
        <v>707</v>
      </c>
      <c r="D25" s="37">
        <v>2475</v>
      </c>
      <c r="E25" s="38">
        <v>44.8369</v>
      </c>
    </row>
    <row r="27" spans="1:5" ht="14.25" x14ac:dyDescent="0.2">
      <c r="A27" s="33"/>
      <c r="B27" s="34" t="s">
        <v>73</v>
      </c>
    </row>
    <row r="28" spans="1:5" ht="15" x14ac:dyDescent="0.2">
      <c r="A28" s="35" t="s">
        <v>65</v>
      </c>
      <c r="B28" s="35" t="s">
        <v>66</v>
      </c>
      <c r="C28" s="35" t="s">
        <v>67</v>
      </c>
      <c r="D28" s="36" t="s">
        <v>366</v>
      </c>
      <c r="E28" s="35" t="s">
        <v>710</v>
      </c>
    </row>
    <row r="29" spans="1:5" x14ac:dyDescent="0.2">
      <c r="A29" s="32" t="s">
        <v>731</v>
      </c>
      <c r="B29" s="4" t="s">
        <v>275</v>
      </c>
      <c r="C29" s="4" t="s">
        <v>707</v>
      </c>
      <c r="D29" s="37">
        <v>2750</v>
      </c>
      <c r="E29" s="38">
        <v>55.110199999999999</v>
      </c>
    </row>
  </sheetData>
  <mergeCells count="12"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8.710937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9" bestFit="1" customWidth="1"/>
    <col min="11" max="11" width="26.42578125" style="4" bestFit="1" customWidth="1"/>
    <col min="12" max="16384" width="9.140625" style="3"/>
  </cols>
  <sheetData>
    <row r="1" spans="1:11" s="2" customFormat="1" ht="29.1" customHeight="1" x14ac:dyDescent="0.2">
      <c r="A1" s="82" t="s">
        <v>783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719</v>
      </c>
      <c r="E3" s="77" t="s">
        <v>4</v>
      </c>
      <c r="F3" s="77" t="s">
        <v>8</v>
      </c>
      <c r="G3" s="77" t="s">
        <v>782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717</v>
      </c>
      <c r="B5" s="81"/>
      <c r="C5" s="81"/>
      <c r="D5" s="81"/>
      <c r="E5" s="81"/>
      <c r="F5" s="81"/>
      <c r="G5" s="81"/>
      <c r="H5" s="81"/>
    </row>
    <row r="6" spans="1:11" x14ac:dyDescent="0.2">
      <c r="A6" s="11" t="s">
        <v>781</v>
      </c>
      <c r="B6" s="11" t="s">
        <v>780</v>
      </c>
      <c r="C6" s="11" t="s">
        <v>779</v>
      </c>
      <c r="D6" s="12" t="str">
        <f>"1,0000"</f>
        <v>1,0000</v>
      </c>
      <c r="E6" s="11" t="s">
        <v>139</v>
      </c>
      <c r="F6" s="11" t="s">
        <v>140</v>
      </c>
      <c r="G6" s="13" t="s">
        <v>83</v>
      </c>
      <c r="H6" s="13" t="s">
        <v>778</v>
      </c>
      <c r="I6" s="15" t="str">
        <f>"2350,0"</f>
        <v>2350,0</v>
      </c>
      <c r="J6" s="16" t="str">
        <f>"26,3748"</f>
        <v>26,3748</v>
      </c>
      <c r="K6" s="11" t="s">
        <v>573</v>
      </c>
    </row>
    <row r="7" spans="1:11" x14ac:dyDescent="0.2">
      <c r="A7" s="39" t="s">
        <v>777</v>
      </c>
      <c r="B7" s="39" t="s">
        <v>776</v>
      </c>
      <c r="C7" s="39" t="s">
        <v>775</v>
      </c>
      <c r="D7" s="40" t="str">
        <f>"1,0000"</f>
        <v>1,0000</v>
      </c>
      <c r="E7" s="39" t="s">
        <v>139</v>
      </c>
      <c r="F7" s="39" t="s">
        <v>140</v>
      </c>
      <c r="G7" s="41" t="s">
        <v>83</v>
      </c>
      <c r="H7" s="41" t="s">
        <v>774</v>
      </c>
      <c r="I7" s="43" t="str">
        <f>"2200,0"</f>
        <v>2200,0</v>
      </c>
      <c r="J7" s="44" t="str">
        <f>"33,3333"</f>
        <v>33,3333</v>
      </c>
      <c r="K7" s="39" t="s">
        <v>573</v>
      </c>
    </row>
    <row r="8" spans="1:11" x14ac:dyDescent="0.2">
      <c r="A8" s="39" t="s">
        <v>773</v>
      </c>
      <c r="B8" s="39" t="s">
        <v>772</v>
      </c>
      <c r="C8" s="39" t="s">
        <v>771</v>
      </c>
      <c r="D8" s="40" t="str">
        <f>"1,0000"</f>
        <v>1,0000</v>
      </c>
      <c r="E8" s="39" t="s">
        <v>139</v>
      </c>
      <c r="F8" s="39" t="s">
        <v>140</v>
      </c>
      <c r="G8" s="41" t="s">
        <v>83</v>
      </c>
      <c r="H8" s="41" t="s">
        <v>770</v>
      </c>
      <c r="I8" s="43" t="str">
        <f>"2100,0"</f>
        <v>2100,0</v>
      </c>
      <c r="J8" s="44" t="str">
        <f>"21,9895"</f>
        <v>21,9895</v>
      </c>
      <c r="K8" s="39" t="s">
        <v>573</v>
      </c>
    </row>
    <row r="9" spans="1:11" x14ac:dyDescent="0.2">
      <c r="A9" s="39" t="s">
        <v>769</v>
      </c>
      <c r="B9" s="39" t="s">
        <v>768</v>
      </c>
      <c r="C9" s="39" t="s">
        <v>767</v>
      </c>
      <c r="D9" s="40" t="str">
        <f>"1,0000"</f>
        <v>1,0000</v>
      </c>
      <c r="E9" s="39" t="s">
        <v>139</v>
      </c>
      <c r="F9" s="39" t="s">
        <v>140</v>
      </c>
      <c r="G9" s="41" t="s">
        <v>83</v>
      </c>
      <c r="H9" s="41" t="s">
        <v>766</v>
      </c>
      <c r="I9" s="43" t="str">
        <f>"1200,0"</f>
        <v>1200,0</v>
      </c>
      <c r="J9" s="44" t="str">
        <f>"20,8333"</f>
        <v>20,8333</v>
      </c>
      <c r="K9" s="39" t="s">
        <v>573</v>
      </c>
    </row>
    <row r="10" spans="1:11" x14ac:dyDescent="0.2">
      <c r="A10" s="39" t="s">
        <v>765</v>
      </c>
      <c r="B10" s="39" t="s">
        <v>764</v>
      </c>
      <c r="C10" s="39" t="s">
        <v>763</v>
      </c>
      <c r="D10" s="40" t="str">
        <f>"1,0000"</f>
        <v>1,0000</v>
      </c>
      <c r="E10" s="39" t="s">
        <v>139</v>
      </c>
      <c r="F10" s="39" t="s">
        <v>140</v>
      </c>
      <c r="G10" s="41" t="s">
        <v>83</v>
      </c>
      <c r="H10" s="41" t="s">
        <v>762</v>
      </c>
      <c r="I10" s="43" t="str">
        <f>"1150,0"</f>
        <v>1150,0</v>
      </c>
      <c r="J10" s="44" t="str">
        <f>"17,7743"</f>
        <v>17,7743</v>
      </c>
      <c r="K10" s="39" t="s">
        <v>573</v>
      </c>
    </row>
    <row r="11" spans="1:11" x14ac:dyDescent="0.2">
      <c r="A11" s="39" t="s">
        <v>761</v>
      </c>
      <c r="B11" s="39" t="s">
        <v>760</v>
      </c>
      <c r="C11" s="39" t="s">
        <v>759</v>
      </c>
      <c r="D11" s="40" t="str">
        <f>"1,0000"</f>
        <v>1,0000</v>
      </c>
      <c r="E11" s="39" t="s">
        <v>139</v>
      </c>
      <c r="F11" s="39" t="s">
        <v>167</v>
      </c>
      <c r="G11" s="41" t="s">
        <v>83</v>
      </c>
      <c r="H11" s="41" t="s">
        <v>81</v>
      </c>
      <c r="I11" s="43" t="str">
        <f>"2000,0"</f>
        <v>2000,0</v>
      </c>
      <c r="J11" s="44" t="str">
        <f>"25,7069"</f>
        <v>25,7069</v>
      </c>
      <c r="K11" s="39" t="s">
        <v>647</v>
      </c>
    </row>
    <row r="12" spans="1:11" x14ac:dyDescent="0.2">
      <c r="A12" s="39" t="s">
        <v>758</v>
      </c>
      <c r="B12" s="39" t="s">
        <v>757</v>
      </c>
      <c r="C12" s="39" t="s">
        <v>756</v>
      </c>
      <c r="D12" s="40" t="str">
        <f>"1,0000"</f>
        <v>1,0000</v>
      </c>
      <c r="E12" s="39" t="s">
        <v>139</v>
      </c>
      <c r="F12" s="39" t="s">
        <v>140</v>
      </c>
      <c r="G12" s="41" t="s">
        <v>83</v>
      </c>
      <c r="H12" s="41" t="s">
        <v>722</v>
      </c>
      <c r="I12" s="43" t="str">
        <f>"1050,0"</f>
        <v>1050,0</v>
      </c>
      <c r="J12" s="44" t="str">
        <f>"16,4835"</f>
        <v>16,4835</v>
      </c>
      <c r="K12" s="39" t="s">
        <v>573</v>
      </c>
    </row>
    <row r="13" spans="1:11" x14ac:dyDescent="0.2">
      <c r="A13" s="17" t="s">
        <v>755</v>
      </c>
      <c r="B13" s="17" t="s">
        <v>754</v>
      </c>
      <c r="C13" s="17" t="s">
        <v>753</v>
      </c>
      <c r="D13" s="18" t="str">
        <f>"1,0000"</f>
        <v>1,0000</v>
      </c>
      <c r="E13" s="17" t="s">
        <v>139</v>
      </c>
      <c r="F13" s="17" t="s">
        <v>140</v>
      </c>
      <c r="G13" s="19" t="s">
        <v>83</v>
      </c>
      <c r="H13" s="19" t="s">
        <v>752</v>
      </c>
      <c r="I13" s="21" t="str">
        <f>"2400,0"</f>
        <v>2400,0</v>
      </c>
      <c r="J13" s="22" t="str">
        <f>"24,5649"</f>
        <v>24,5649</v>
      </c>
      <c r="K13" s="17" t="s">
        <v>647</v>
      </c>
    </row>
    <row r="15" spans="1:11" ht="15" x14ac:dyDescent="0.2">
      <c r="E15" s="29" t="s">
        <v>57</v>
      </c>
    </row>
    <row r="16" spans="1:11" ht="15" x14ac:dyDescent="0.2">
      <c r="E16" s="29" t="s">
        <v>58</v>
      </c>
    </row>
    <row r="17" spans="1:5" ht="15" x14ac:dyDescent="0.2">
      <c r="E17" s="29" t="s">
        <v>59</v>
      </c>
    </row>
    <row r="18" spans="1:5" ht="15" x14ac:dyDescent="0.2">
      <c r="E18" s="29" t="s">
        <v>60</v>
      </c>
    </row>
    <row r="19" spans="1:5" ht="15" x14ac:dyDescent="0.2">
      <c r="E19" s="29" t="s">
        <v>60</v>
      </c>
    </row>
    <row r="20" spans="1:5" ht="15" x14ac:dyDescent="0.2">
      <c r="E20" s="29" t="s">
        <v>61</v>
      </c>
    </row>
    <row r="21" spans="1:5" ht="15" x14ac:dyDescent="0.2">
      <c r="E21" s="29"/>
    </row>
    <row r="23" spans="1:5" ht="18" x14ac:dyDescent="0.25">
      <c r="A23" s="30" t="s">
        <v>62</v>
      </c>
      <c r="B23" s="30"/>
    </row>
    <row r="24" spans="1:5" ht="15" x14ac:dyDescent="0.2">
      <c r="A24" s="31" t="s">
        <v>63</v>
      </c>
      <c r="B24" s="31"/>
    </row>
    <row r="25" spans="1:5" ht="14.25" x14ac:dyDescent="0.2">
      <c r="A25" s="33"/>
      <c r="B25" s="34" t="s">
        <v>276</v>
      </c>
    </row>
    <row r="26" spans="1:5" ht="15" x14ac:dyDescent="0.2">
      <c r="A26" s="35" t="s">
        <v>65</v>
      </c>
      <c r="B26" s="35" t="s">
        <v>66</v>
      </c>
      <c r="C26" s="35" t="s">
        <v>67</v>
      </c>
      <c r="D26" s="36" t="s">
        <v>366</v>
      </c>
      <c r="E26" s="35" t="s">
        <v>710</v>
      </c>
    </row>
    <row r="27" spans="1:5" x14ac:dyDescent="0.2">
      <c r="A27" s="32" t="s">
        <v>751</v>
      </c>
      <c r="B27" s="4" t="s">
        <v>278</v>
      </c>
      <c r="C27" s="4" t="s">
        <v>707</v>
      </c>
      <c r="D27" s="37">
        <v>2200</v>
      </c>
      <c r="E27" s="38">
        <v>33.333300000000001</v>
      </c>
    </row>
    <row r="28" spans="1:5" x14ac:dyDescent="0.2">
      <c r="A28" s="32" t="s">
        <v>750</v>
      </c>
      <c r="B28" s="4" t="s">
        <v>278</v>
      </c>
      <c r="C28" s="4" t="s">
        <v>707</v>
      </c>
      <c r="D28" s="37">
        <v>2350</v>
      </c>
      <c r="E28" s="38">
        <v>26.3748</v>
      </c>
    </row>
    <row r="29" spans="1:5" x14ac:dyDescent="0.2">
      <c r="A29" s="32" t="s">
        <v>749</v>
      </c>
      <c r="B29" s="4" t="s">
        <v>278</v>
      </c>
      <c r="C29" s="4" t="s">
        <v>707</v>
      </c>
      <c r="D29" s="37">
        <v>2100</v>
      </c>
      <c r="E29" s="38">
        <v>21.9895</v>
      </c>
    </row>
    <row r="30" spans="1:5" x14ac:dyDescent="0.2">
      <c r="A30" s="32" t="s">
        <v>748</v>
      </c>
      <c r="B30" s="4" t="s">
        <v>278</v>
      </c>
      <c r="C30" s="4" t="s">
        <v>707</v>
      </c>
      <c r="D30" s="37">
        <v>1200</v>
      </c>
      <c r="E30" s="38">
        <v>20.833300000000001</v>
      </c>
    </row>
    <row r="31" spans="1:5" x14ac:dyDescent="0.2">
      <c r="A31" s="32" t="s">
        <v>747</v>
      </c>
      <c r="B31" s="4" t="s">
        <v>278</v>
      </c>
      <c r="C31" s="4" t="s">
        <v>707</v>
      </c>
      <c r="D31" s="37">
        <v>1150</v>
      </c>
      <c r="E31" s="38">
        <v>17.7743</v>
      </c>
    </row>
    <row r="33" spans="1:5" ht="14.25" x14ac:dyDescent="0.2">
      <c r="A33" s="33"/>
      <c r="B33" s="34" t="s">
        <v>281</v>
      </c>
    </row>
    <row r="34" spans="1:5" ht="15" x14ac:dyDescent="0.2">
      <c r="A34" s="35" t="s">
        <v>65</v>
      </c>
      <c r="B34" s="35" t="s">
        <v>66</v>
      </c>
      <c r="C34" s="35" t="s">
        <v>67</v>
      </c>
      <c r="D34" s="36" t="s">
        <v>366</v>
      </c>
      <c r="E34" s="35" t="s">
        <v>710</v>
      </c>
    </row>
    <row r="35" spans="1:5" x14ac:dyDescent="0.2">
      <c r="A35" s="32" t="s">
        <v>746</v>
      </c>
      <c r="B35" s="4" t="s">
        <v>282</v>
      </c>
      <c r="C35" s="4" t="s">
        <v>707</v>
      </c>
      <c r="D35" s="37">
        <v>2000</v>
      </c>
      <c r="E35" s="38">
        <v>25.706900000000001</v>
      </c>
    </row>
    <row r="36" spans="1:5" x14ac:dyDescent="0.2">
      <c r="A36" s="32" t="s">
        <v>745</v>
      </c>
      <c r="B36" s="4" t="s">
        <v>282</v>
      </c>
      <c r="C36" s="4" t="s">
        <v>707</v>
      </c>
      <c r="D36" s="37">
        <v>1050</v>
      </c>
      <c r="E36" s="38">
        <v>16.483499999999999</v>
      </c>
    </row>
    <row r="38" spans="1:5" ht="14.25" x14ac:dyDescent="0.2">
      <c r="A38" s="33"/>
      <c r="B38" s="34" t="s">
        <v>73</v>
      </c>
    </row>
    <row r="39" spans="1:5" ht="15" x14ac:dyDescent="0.2">
      <c r="A39" s="35" t="s">
        <v>65</v>
      </c>
      <c r="B39" s="35" t="s">
        <v>66</v>
      </c>
      <c r="C39" s="35" t="s">
        <v>67</v>
      </c>
      <c r="D39" s="36" t="s">
        <v>366</v>
      </c>
      <c r="E39" s="35" t="s">
        <v>710</v>
      </c>
    </row>
    <row r="40" spans="1:5" x14ac:dyDescent="0.2">
      <c r="A40" s="32" t="s">
        <v>744</v>
      </c>
      <c r="B40" s="4" t="s">
        <v>74</v>
      </c>
      <c r="C40" s="4" t="s">
        <v>707</v>
      </c>
      <c r="D40" s="37">
        <v>2400</v>
      </c>
      <c r="E40" s="38">
        <v>24.564900000000002</v>
      </c>
    </row>
  </sheetData>
  <mergeCells count="12"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7.8554687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9" bestFit="1" customWidth="1"/>
    <col min="11" max="11" width="13.28515625" style="4" bestFit="1" customWidth="1"/>
    <col min="12" max="16384" width="9.140625" style="3"/>
  </cols>
  <sheetData>
    <row r="1" spans="1:11" s="2" customFormat="1" ht="29.1" customHeight="1" x14ac:dyDescent="0.2">
      <c r="A1" s="82" t="s">
        <v>784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719</v>
      </c>
      <c r="E3" s="77" t="s">
        <v>4</v>
      </c>
      <c r="F3" s="77" t="s">
        <v>8</v>
      </c>
      <c r="G3" s="77" t="s">
        <v>782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717</v>
      </c>
      <c r="B5" s="81"/>
      <c r="C5" s="81"/>
      <c r="D5" s="81"/>
      <c r="E5" s="81"/>
      <c r="F5" s="81"/>
      <c r="G5" s="81"/>
      <c r="H5" s="81"/>
    </row>
    <row r="6" spans="1:11" x14ac:dyDescent="0.2">
      <c r="A6" s="23" t="s">
        <v>644</v>
      </c>
      <c r="B6" s="23" t="s">
        <v>645</v>
      </c>
      <c r="C6" s="23" t="s">
        <v>646</v>
      </c>
      <c r="D6" s="24" t="str">
        <f>"1,0000"</f>
        <v>1,0000</v>
      </c>
      <c r="E6" s="23" t="s">
        <v>139</v>
      </c>
      <c r="F6" s="23" t="s">
        <v>140</v>
      </c>
      <c r="G6" s="25" t="s">
        <v>85</v>
      </c>
      <c r="H6" s="25" t="s">
        <v>677</v>
      </c>
      <c r="I6" s="27" t="str">
        <f>"1530,0"</f>
        <v>1530,0</v>
      </c>
      <c r="J6" s="28" t="str">
        <f>"30,0589"</f>
        <v>30,0589</v>
      </c>
      <c r="K6" s="23" t="s">
        <v>647</v>
      </c>
    </row>
    <row r="8" spans="1:11" ht="15" x14ac:dyDescent="0.2">
      <c r="E8" s="29" t="s">
        <v>57</v>
      </c>
    </row>
    <row r="9" spans="1:11" ht="15" x14ac:dyDescent="0.2">
      <c r="E9" s="29" t="s">
        <v>58</v>
      </c>
    </row>
    <row r="10" spans="1:11" ht="15" x14ac:dyDescent="0.2">
      <c r="E10" s="29" t="s">
        <v>59</v>
      </c>
    </row>
    <row r="11" spans="1:11" ht="15" x14ac:dyDescent="0.2">
      <c r="E11" s="29" t="s">
        <v>60</v>
      </c>
    </row>
    <row r="12" spans="1:11" ht="15" x14ac:dyDescent="0.2">
      <c r="E12" s="29" t="s">
        <v>60</v>
      </c>
    </row>
    <row r="13" spans="1:11" ht="15" x14ac:dyDescent="0.2">
      <c r="E13" s="29" t="s">
        <v>61</v>
      </c>
    </row>
    <row r="14" spans="1:11" ht="15" x14ac:dyDescent="0.2">
      <c r="E14" s="29"/>
    </row>
    <row r="16" spans="1:11" ht="18" x14ac:dyDescent="0.25">
      <c r="A16" s="30" t="s">
        <v>62</v>
      </c>
      <c r="B16" s="30"/>
    </row>
    <row r="17" spans="1:5" ht="15" x14ac:dyDescent="0.2">
      <c r="A17" s="31" t="s">
        <v>266</v>
      </c>
      <c r="B17" s="31"/>
    </row>
    <row r="18" spans="1:5" ht="14.25" x14ac:dyDescent="0.2">
      <c r="A18" s="33"/>
      <c r="B18" s="34" t="s">
        <v>472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710</v>
      </c>
    </row>
    <row r="20" spans="1:5" x14ac:dyDescent="0.2">
      <c r="A20" s="32" t="s">
        <v>643</v>
      </c>
      <c r="B20" s="4" t="s">
        <v>282</v>
      </c>
      <c r="C20" s="4" t="s">
        <v>707</v>
      </c>
      <c r="D20" s="37">
        <v>1530</v>
      </c>
      <c r="E20" s="38">
        <v>30.058900000000001</v>
      </c>
    </row>
  </sheetData>
  <mergeCells count="12"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7.85546875" style="4" bestFit="1" customWidth="1"/>
    <col min="7" max="8" width="4.5703125" style="3" customWidth="1"/>
    <col min="9" max="9" width="5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13.28515625" style="4" bestFit="1" customWidth="1"/>
    <col min="14" max="16384" width="9.140625" style="3"/>
  </cols>
  <sheetData>
    <row r="1" spans="1:13" s="2" customFormat="1" ht="29.1" customHeight="1" x14ac:dyDescent="0.2">
      <c r="A1" s="82" t="s">
        <v>642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14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491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644</v>
      </c>
      <c r="B6" s="23" t="s">
        <v>645</v>
      </c>
      <c r="C6" s="23" t="s">
        <v>646</v>
      </c>
      <c r="D6" s="24" t="str">
        <f>"0,9864"</f>
        <v>0,9864</v>
      </c>
      <c r="E6" s="23" t="s">
        <v>139</v>
      </c>
      <c r="F6" s="23" t="s">
        <v>140</v>
      </c>
      <c r="G6" s="25" t="s">
        <v>88</v>
      </c>
      <c r="H6" s="25" t="s">
        <v>89</v>
      </c>
      <c r="I6" s="26" t="s">
        <v>449</v>
      </c>
      <c r="J6" s="26"/>
      <c r="K6" s="27" t="str">
        <f>"90,0"</f>
        <v>90,0</v>
      </c>
      <c r="L6" s="28" t="str">
        <f>"90,5515"</f>
        <v>90,5515</v>
      </c>
      <c r="M6" s="23" t="s">
        <v>647</v>
      </c>
    </row>
    <row r="8" spans="1:13" ht="15" x14ac:dyDescent="0.2">
      <c r="E8" s="29" t="s">
        <v>57</v>
      </c>
    </row>
    <row r="9" spans="1:13" ht="15" x14ac:dyDescent="0.2">
      <c r="E9" s="29" t="s">
        <v>58</v>
      </c>
    </row>
    <row r="10" spans="1:13" ht="15" x14ac:dyDescent="0.2">
      <c r="E10" s="29" t="s">
        <v>59</v>
      </c>
    </row>
    <row r="11" spans="1:13" ht="15" x14ac:dyDescent="0.2">
      <c r="E11" s="29" t="s">
        <v>60</v>
      </c>
    </row>
    <row r="12" spans="1:13" ht="15" x14ac:dyDescent="0.2">
      <c r="E12" s="29" t="s">
        <v>60</v>
      </c>
    </row>
    <row r="13" spans="1:13" ht="15" x14ac:dyDescent="0.2">
      <c r="E13" s="29" t="s">
        <v>61</v>
      </c>
    </row>
    <row r="14" spans="1:13" ht="15" x14ac:dyDescent="0.2">
      <c r="E14" s="29"/>
    </row>
    <row r="16" spans="1:13" ht="18" x14ac:dyDescent="0.25">
      <c r="A16" s="30" t="s">
        <v>62</v>
      </c>
      <c r="B16" s="30"/>
    </row>
    <row r="17" spans="1:5" ht="15" x14ac:dyDescent="0.2">
      <c r="A17" s="31" t="s">
        <v>266</v>
      </c>
      <c r="B17" s="31"/>
    </row>
    <row r="18" spans="1:5" ht="14.25" x14ac:dyDescent="0.2">
      <c r="A18" s="33"/>
      <c r="B18" s="34" t="s">
        <v>472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69</v>
      </c>
    </row>
    <row r="20" spans="1:5" x14ac:dyDescent="0.2">
      <c r="A20" s="32" t="s">
        <v>643</v>
      </c>
      <c r="B20" s="4" t="s">
        <v>282</v>
      </c>
      <c r="C20" s="4" t="s">
        <v>496</v>
      </c>
      <c r="D20" s="37">
        <v>90</v>
      </c>
      <c r="E20" s="38">
        <v>90.551520752906796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5.710937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9" bestFit="1" customWidth="1"/>
    <col min="11" max="11" width="12" style="4" bestFit="1" customWidth="1"/>
    <col min="12" max="16384" width="9.140625" style="3"/>
  </cols>
  <sheetData>
    <row r="1" spans="1:11" s="2" customFormat="1" ht="29.1" customHeight="1" x14ac:dyDescent="0.2">
      <c r="A1" s="82" t="s">
        <v>786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719</v>
      </c>
      <c r="E3" s="77" t="s">
        <v>4</v>
      </c>
      <c r="F3" s="77" t="s">
        <v>8</v>
      </c>
      <c r="G3" s="77" t="s">
        <v>785</v>
      </c>
      <c r="H3" s="77"/>
      <c r="I3" s="75" t="s">
        <v>368</v>
      </c>
      <c r="J3" s="75" t="s">
        <v>3</v>
      </c>
      <c r="K3" s="78" t="s">
        <v>2</v>
      </c>
    </row>
    <row r="4" spans="1:11" s="1" customFormat="1" ht="21" customHeight="1" thickBot="1" x14ac:dyDescent="0.25">
      <c r="A4" s="72"/>
      <c r="B4" s="74"/>
      <c r="C4" s="74"/>
      <c r="D4" s="76"/>
      <c r="E4" s="74"/>
      <c r="F4" s="74"/>
      <c r="G4" s="45" t="s">
        <v>9</v>
      </c>
      <c r="H4" s="45" t="s">
        <v>10</v>
      </c>
      <c r="I4" s="76"/>
      <c r="J4" s="76"/>
      <c r="K4" s="79"/>
    </row>
    <row r="5" spans="1:11" ht="15" x14ac:dyDescent="0.2">
      <c r="A5" s="80" t="s">
        <v>717</v>
      </c>
      <c r="B5" s="81"/>
      <c r="C5" s="81"/>
      <c r="D5" s="81"/>
      <c r="E5" s="81"/>
      <c r="F5" s="81"/>
      <c r="G5" s="81"/>
      <c r="H5" s="81"/>
    </row>
    <row r="6" spans="1:11" x14ac:dyDescent="0.2">
      <c r="A6" s="23" t="s">
        <v>663</v>
      </c>
      <c r="B6" s="23" t="s">
        <v>662</v>
      </c>
      <c r="C6" s="23" t="s">
        <v>661</v>
      </c>
      <c r="D6" s="24" t="str">
        <f>"1,0000"</f>
        <v>1,0000</v>
      </c>
      <c r="E6" s="23" t="s">
        <v>660</v>
      </c>
      <c r="F6" s="23" t="s">
        <v>659</v>
      </c>
      <c r="G6" s="25" t="s">
        <v>98</v>
      </c>
      <c r="H6" s="25" t="s">
        <v>100</v>
      </c>
      <c r="I6" s="27" t="str">
        <f>"3575,0"</f>
        <v>3575,0</v>
      </c>
      <c r="J6" s="28" t="str">
        <f>"40,7639"</f>
        <v>40,7639</v>
      </c>
      <c r="K6" s="23" t="s">
        <v>658</v>
      </c>
    </row>
    <row r="8" spans="1:11" ht="15" x14ac:dyDescent="0.2">
      <c r="E8" s="29" t="s">
        <v>57</v>
      </c>
    </row>
    <row r="9" spans="1:11" ht="15" x14ac:dyDescent="0.2">
      <c r="E9" s="29" t="s">
        <v>58</v>
      </c>
    </row>
    <row r="10" spans="1:11" ht="15" x14ac:dyDescent="0.2">
      <c r="E10" s="29" t="s">
        <v>59</v>
      </c>
    </row>
    <row r="11" spans="1:11" ht="15" x14ac:dyDescent="0.2">
      <c r="E11" s="29" t="s">
        <v>60</v>
      </c>
    </row>
    <row r="12" spans="1:11" ht="15" x14ac:dyDescent="0.2">
      <c r="E12" s="29" t="s">
        <v>60</v>
      </c>
    </row>
    <row r="13" spans="1:11" ht="15" x14ac:dyDescent="0.2">
      <c r="E13" s="29" t="s">
        <v>61</v>
      </c>
    </row>
    <row r="14" spans="1:11" ht="15" x14ac:dyDescent="0.2">
      <c r="E14" s="29"/>
    </row>
    <row r="16" spans="1:11" ht="18" x14ac:dyDescent="0.25">
      <c r="A16" s="30" t="s">
        <v>62</v>
      </c>
      <c r="B16" s="30"/>
    </row>
    <row r="17" spans="1:5" ht="15" x14ac:dyDescent="0.2">
      <c r="A17" s="31" t="s">
        <v>63</v>
      </c>
      <c r="B17" s="31"/>
    </row>
    <row r="18" spans="1:5" ht="14.25" x14ac:dyDescent="0.2">
      <c r="A18" s="33"/>
      <c r="B18" s="34" t="s">
        <v>73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710</v>
      </c>
    </row>
    <row r="20" spans="1:5" x14ac:dyDescent="0.2">
      <c r="A20" s="32" t="s">
        <v>656</v>
      </c>
      <c r="B20" s="4" t="s">
        <v>74</v>
      </c>
      <c r="C20" s="4" t="s">
        <v>707</v>
      </c>
      <c r="D20" s="37">
        <v>3575</v>
      </c>
      <c r="E20" s="38">
        <v>40.7639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82" t="s">
        <v>639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14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76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640</v>
      </c>
      <c r="B6" s="23" t="s">
        <v>524</v>
      </c>
      <c r="C6" s="23" t="s">
        <v>525</v>
      </c>
      <c r="D6" s="24" t="str">
        <f>"0,9187"</f>
        <v>0,9187</v>
      </c>
      <c r="E6" s="23" t="s">
        <v>222</v>
      </c>
      <c r="F6" s="23" t="s">
        <v>195</v>
      </c>
      <c r="G6" s="25" t="s">
        <v>99</v>
      </c>
      <c r="H6" s="25" t="s">
        <v>100</v>
      </c>
      <c r="I6" s="25" t="s">
        <v>87</v>
      </c>
      <c r="J6" s="26"/>
      <c r="K6" s="27" t="str">
        <f>"70,0"</f>
        <v>70,0</v>
      </c>
      <c r="L6" s="28" t="str">
        <f>"64,3090"</f>
        <v>64,3090</v>
      </c>
      <c r="M6" s="23" t="s">
        <v>335</v>
      </c>
    </row>
    <row r="8" spans="1:13" ht="15" x14ac:dyDescent="0.2">
      <c r="A8" s="83" t="s">
        <v>91</v>
      </c>
      <c r="B8" s="84"/>
      <c r="C8" s="84"/>
      <c r="D8" s="84"/>
      <c r="E8" s="84"/>
      <c r="F8" s="84"/>
      <c r="G8" s="84"/>
      <c r="H8" s="84"/>
      <c r="I8" s="84"/>
      <c r="J8" s="84"/>
    </row>
    <row r="9" spans="1:13" x14ac:dyDescent="0.2">
      <c r="A9" s="23" t="s">
        <v>103</v>
      </c>
      <c r="B9" s="23" t="s">
        <v>641</v>
      </c>
      <c r="C9" s="23" t="s">
        <v>95</v>
      </c>
      <c r="D9" s="24" t="str">
        <f>"0,8609"</f>
        <v>0,8609</v>
      </c>
      <c r="E9" s="23" t="s">
        <v>22</v>
      </c>
      <c r="F9" s="23" t="s">
        <v>23</v>
      </c>
      <c r="G9" s="25" t="s">
        <v>105</v>
      </c>
      <c r="H9" s="25" t="s">
        <v>106</v>
      </c>
      <c r="I9" s="25" t="s">
        <v>107</v>
      </c>
      <c r="J9" s="26"/>
      <c r="K9" s="27" t="str">
        <f>"95,0"</f>
        <v>95,0</v>
      </c>
      <c r="L9" s="28" t="str">
        <f>"81,7855"</f>
        <v>81,7855</v>
      </c>
      <c r="M9" s="23" t="s">
        <v>33</v>
      </c>
    </row>
    <row r="11" spans="1:13" ht="15" x14ac:dyDescent="0.2">
      <c r="A11" s="83" t="s">
        <v>112</v>
      </c>
      <c r="B11" s="84"/>
      <c r="C11" s="84"/>
      <c r="D11" s="84"/>
      <c r="E11" s="84"/>
      <c r="F11" s="84"/>
      <c r="G11" s="84"/>
      <c r="H11" s="84"/>
      <c r="I11" s="84"/>
      <c r="J11" s="84"/>
    </row>
    <row r="12" spans="1:13" x14ac:dyDescent="0.2">
      <c r="A12" s="23" t="s">
        <v>145</v>
      </c>
      <c r="B12" s="23" t="s">
        <v>146</v>
      </c>
      <c r="C12" s="23" t="s">
        <v>147</v>
      </c>
      <c r="D12" s="24" t="str">
        <f>"0,7258"</f>
        <v>0,7258</v>
      </c>
      <c r="E12" s="23" t="s">
        <v>117</v>
      </c>
      <c r="F12" s="23" t="s">
        <v>118</v>
      </c>
      <c r="G12" s="25" t="s">
        <v>100</v>
      </c>
      <c r="H12" s="25" t="s">
        <v>87</v>
      </c>
      <c r="I12" s="25" t="s">
        <v>105</v>
      </c>
      <c r="J12" s="26"/>
      <c r="K12" s="27" t="str">
        <f>"75,0"</f>
        <v>75,0</v>
      </c>
      <c r="L12" s="28" t="str">
        <f>"66,9550"</f>
        <v>66,9550</v>
      </c>
      <c r="M12" s="23" t="s">
        <v>126</v>
      </c>
    </row>
    <row r="14" spans="1:13" ht="15" x14ac:dyDescent="0.2">
      <c r="A14" s="83" t="s">
        <v>50</v>
      </c>
      <c r="B14" s="84"/>
      <c r="C14" s="84"/>
      <c r="D14" s="84"/>
      <c r="E14" s="84"/>
      <c r="F14" s="84"/>
      <c r="G14" s="84"/>
      <c r="H14" s="84"/>
      <c r="I14" s="84"/>
      <c r="J14" s="84"/>
    </row>
    <row r="15" spans="1:13" x14ac:dyDescent="0.2">
      <c r="A15" s="23" t="s">
        <v>258</v>
      </c>
      <c r="B15" s="23" t="s">
        <v>259</v>
      </c>
      <c r="C15" s="23" t="s">
        <v>260</v>
      </c>
      <c r="D15" s="24" t="str">
        <f>"0,5270"</f>
        <v>0,5270</v>
      </c>
      <c r="E15" s="23" t="s">
        <v>117</v>
      </c>
      <c r="F15" s="23" t="s">
        <v>118</v>
      </c>
      <c r="G15" s="26" t="s">
        <v>188</v>
      </c>
      <c r="H15" s="25" t="s">
        <v>188</v>
      </c>
      <c r="I15" s="26" t="s">
        <v>245</v>
      </c>
      <c r="J15" s="26"/>
      <c r="K15" s="27" t="str">
        <f>"210,0"</f>
        <v>210,0</v>
      </c>
      <c r="L15" s="28" t="str">
        <f>"123,6184"</f>
        <v>123,6184</v>
      </c>
      <c r="M15" s="23" t="s">
        <v>126</v>
      </c>
    </row>
    <row r="17" spans="1:13" ht="15" x14ac:dyDescent="0.2">
      <c r="A17" s="83" t="s">
        <v>261</v>
      </c>
      <c r="B17" s="84"/>
      <c r="C17" s="84"/>
      <c r="D17" s="84"/>
      <c r="E17" s="84"/>
      <c r="F17" s="84"/>
      <c r="G17" s="84"/>
      <c r="H17" s="84"/>
      <c r="I17" s="84"/>
      <c r="J17" s="84"/>
    </row>
    <row r="18" spans="1:13" x14ac:dyDescent="0.2">
      <c r="A18" s="23" t="s">
        <v>263</v>
      </c>
      <c r="B18" s="23" t="s">
        <v>264</v>
      </c>
      <c r="C18" s="23" t="s">
        <v>265</v>
      </c>
      <c r="D18" s="24" t="str">
        <f>"0,5126"</f>
        <v>0,5126</v>
      </c>
      <c r="E18" s="23" t="s">
        <v>117</v>
      </c>
      <c r="F18" s="23" t="s">
        <v>118</v>
      </c>
      <c r="G18" s="25" t="s">
        <v>223</v>
      </c>
      <c r="H18" s="26" t="s">
        <v>32</v>
      </c>
      <c r="I18" s="25" t="s">
        <v>32</v>
      </c>
      <c r="J18" s="26"/>
      <c r="K18" s="27" t="str">
        <f>"270,0"</f>
        <v>270,0</v>
      </c>
      <c r="L18" s="28" t="str">
        <f>"138,4020"</f>
        <v>138,4020</v>
      </c>
      <c r="M18" s="23" t="s">
        <v>126</v>
      </c>
    </row>
    <row r="20" spans="1:13" ht="15" x14ac:dyDescent="0.2">
      <c r="E20" s="29" t="s">
        <v>57</v>
      </c>
    </row>
    <row r="21" spans="1:13" ht="15" x14ac:dyDescent="0.2">
      <c r="E21" s="29" t="s">
        <v>58</v>
      </c>
    </row>
    <row r="22" spans="1:13" ht="15" x14ac:dyDescent="0.2">
      <c r="E22" s="29" t="s">
        <v>59</v>
      </c>
    </row>
    <row r="23" spans="1:13" ht="15" x14ac:dyDescent="0.2">
      <c r="E23" s="29" t="s">
        <v>60</v>
      </c>
    </row>
    <row r="24" spans="1:13" ht="15" x14ac:dyDescent="0.2">
      <c r="E24" s="29" t="s">
        <v>60</v>
      </c>
    </row>
    <row r="25" spans="1:13" ht="15" x14ac:dyDescent="0.2">
      <c r="E25" s="29" t="s">
        <v>61</v>
      </c>
    </row>
    <row r="26" spans="1:13" ht="15" x14ac:dyDescent="0.2">
      <c r="E26" s="29"/>
    </row>
    <row r="28" spans="1:13" ht="18" x14ac:dyDescent="0.25">
      <c r="A28" s="30" t="s">
        <v>62</v>
      </c>
      <c r="B28" s="30"/>
    </row>
    <row r="29" spans="1:13" ht="15" x14ac:dyDescent="0.2">
      <c r="A29" s="31" t="s">
        <v>266</v>
      </c>
      <c r="B29" s="31"/>
    </row>
    <row r="30" spans="1:13" ht="14.25" x14ac:dyDescent="0.2">
      <c r="A30" s="33"/>
      <c r="B30" s="34" t="s">
        <v>64</v>
      </c>
    </row>
    <row r="31" spans="1:13" ht="15" x14ac:dyDescent="0.2">
      <c r="A31" s="35" t="s">
        <v>65</v>
      </c>
      <c r="B31" s="35" t="s">
        <v>66</v>
      </c>
      <c r="C31" s="35" t="s">
        <v>67</v>
      </c>
      <c r="D31" s="36" t="s">
        <v>366</v>
      </c>
      <c r="E31" s="35" t="s">
        <v>69</v>
      </c>
    </row>
    <row r="32" spans="1:13" x14ac:dyDescent="0.2">
      <c r="A32" s="32" t="s">
        <v>102</v>
      </c>
      <c r="B32" s="4" t="s">
        <v>64</v>
      </c>
      <c r="C32" s="4" t="s">
        <v>270</v>
      </c>
      <c r="D32" s="37">
        <v>95</v>
      </c>
      <c r="E32" s="38">
        <v>81.785498559474902</v>
      </c>
    </row>
    <row r="33" spans="1:5" x14ac:dyDescent="0.2">
      <c r="A33" s="32" t="s">
        <v>522</v>
      </c>
      <c r="B33" s="4" t="s">
        <v>64</v>
      </c>
      <c r="C33" s="4" t="s">
        <v>273</v>
      </c>
      <c r="D33" s="37">
        <v>70</v>
      </c>
      <c r="E33" s="38">
        <v>64.3089985847473</v>
      </c>
    </row>
    <row r="36" spans="1:5" ht="15" x14ac:dyDescent="0.2">
      <c r="A36" s="31" t="s">
        <v>63</v>
      </c>
      <c r="B36" s="31"/>
    </row>
    <row r="37" spans="1:5" ht="14.25" x14ac:dyDescent="0.2">
      <c r="A37" s="33"/>
      <c r="B37" s="34" t="s">
        <v>276</v>
      </c>
    </row>
    <row r="38" spans="1:5" ht="15" x14ac:dyDescent="0.2">
      <c r="A38" s="35" t="s">
        <v>65</v>
      </c>
      <c r="B38" s="35" t="s">
        <v>66</v>
      </c>
      <c r="C38" s="35" t="s">
        <v>67</v>
      </c>
      <c r="D38" s="36" t="s">
        <v>366</v>
      </c>
      <c r="E38" s="35" t="s">
        <v>69</v>
      </c>
    </row>
    <row r="39" spans="1:5" x14ac:dyDescent="0.2">
      <c r="A39" s="32" t="s">
        <v>144</v>
      </c>
      <c r="B39" s="4" t="s">
        <v>268</v>
      </c>
      <c r="C39" s="4" t="s">
        <v>269</v>
      </c>
      <c r="D39" s="37">
        <v>75</v>
      </c>
      <c r="E39" s="38">
        <v>66.955047950148597</v>
      </c>
    </row>
    <row r="41" spans="1:5" ht="14.25" x14ac:dyDescent="0.2">
      <c r="A41" s="33"/>
      <c r="B41" s="34" t="s">
        <v>64</v>
      </c>
    </row>
    <row r="42" spans="1:5" ht="15" x14ac:dyDescent="0.2">
      <c r="A42" s="35" t="s">
        <v>65</v>
      </c>
      <c r="B42" s="35" t="s">
        <v>66</v>
      </c>
      <c r="C42" s="35" t="s">
        <v>67</v>
      </c>
      <c r="D42" s="36" t="s">
        <v>366</v>
      </c>
      <c r="E42" s="35" t="s">
        <v>69</v>
      </c>
    </row>
    <row r="43" spans="1:5" x14ac:dyDescent="0.2">
      <c r="A43" s="32" t="s">
        <v>262</v>
      </c>
      <c r="B43" s="4" t="s">
        <v>64</v>
      </c>
      <c r="C43" s="4" t="s">
        <v>283</v>
      </c>
      <c r="D43" s="37">
        <v>270</v>
      </c>
      <c r="E43" s="38">
        <v>138.40200126171101</v>
      </c>
    </row>
    <row r="45" spans="1:5" ht="14.25" x14ac:dyDescent="0.2">
      <c r="A45" s="33"/>
      <c r="B45" s="34" t="s">
        <v>73</v>
      </c>
    </row>
    <row r="46" spans="1:5" ht="15" x14ac:dyDescent="0.2">
      <c r="A46" s="35" t="s">
        <v>65</v>
      </c>
      <c r="B46" s="35" t="s">
        <v>66</v>
      </c>
      <c r="C46" s="35" t="s">
        <v>67</v>
      </c>
      <c r="D46" s="36" t="s">
        <v>366</v>
      </c>
      <c r="E46" s="35" t="s">
        <v>69</v>
      </c>
    </row>
    <row r="47" spans="1:5" x14ac:dyDescent="0.2">
      <c r="A47" s="32" t="s">
        <v>257</v>
      </c>
      <c r="B47" s="4" t="s">
        <v>275</v>
      </c>
      <c r="C47" s="4" t="s">
        <v>71</v>
      </c>
      <c r="D47" s="37">
        <v>210</v>
      </c>
      <c r="E47" s="38">
        <v>123.618392348886</v>
      </c>
    </row>
  </sheetData>
  <mergeCells count="16">
    <mergeCell ref="A8:J8"/>
    <mergeCell ref="A11:J11"/>
    <mergeCell ref="A14:J14"/>
    <mergeCell ref="A17:J17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42578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15.28515625" style="4" bestFit="1" customWidth="1"/>
    <col min="14" max="16384" width="9.140625" style="3"/>
  </cols>
  <sheetData>
    <row r="1" spans="1:13" s="2" customFormat="1" ht="29.1" customHeight="1" x14ac:dyDescent="0.2">
      <c r="A1" s="82" t="s">
        <v>638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16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17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11" t="s">
        <v>19</v>
      </c>
      <c r="B6" s="11" t="s">
        <v>20</v>
      </c>
      <c r="C6" s="11" t="s">
        <v>21</v>
      </c>
      <c r="D6" s="12" t="str">
        <f>"0,5624"</f>
        <v>0,5624</v>
      </c>
      <c r="E6" s="11" t="s">
        <v>22</v>
      </c>
      <c r="F6" s="11" t="s">
        <v>23</v>
      </c>
      <c r="G6" s="13" t="s">
        <v>30</v>
      </c>
      <c r="H6" s="13" t="s">
        <v>31</v>
      </c>
      <c r="I6" s="13" t="s">
        <v>32</v>
      </c>
      <c r="J6" s="14"/>
      <c r="K6" s="15" t="str">
        <f>"270,0"</f>
        <v>270,0</v>
      </c>
      <c r="L6" s="16" t="str">
        <f>"151,8480"</f>
        <v>151,8480</v>
      </c>
      <c r="M6" s="11" t="s">
        <v>33</v>
      </c>
    </row>
    <row r="7" spans="1:13" x14ac:dyDescent="0.2">
      <c r="A7" s="17" t="s">
        <v>35</v>
      </c>
      <c r="B7" s="17" t="s">
        <v>36</v>
      </c>
      <c r="C7" s="17" t="s">
        <v>37</v>
      </c>
      <c r="D7" s="18" t="str">
        <f>"0,5581"</f>
        <v>0,5581</v>
      </c>
      <c r="E7" s="17" t="s">
        <v>22</v>
      </c>
      <c r="F7" s="17" t="s">
        <v>23</v>
      </c>
      <c r="G7" s="19" t="s">
        <v>25</v>
      </c>
      <c r="H7" s="19" t="s">
        <v>38</v>
      </c>
      <c r="I7" s="19" t="s">
        <v>32</v>
      </c>
      <c r="J7" s="20"/>
      <c r="K7" s="21" t="str">
        <f>"270,0"</f>
        <v>270,0</v>
      </c>
      <c r="L7" s="22" t="str">
        <f>"150,6870"</f>
        <v>150,6870</v>
      </c>
      <c r="M7" s="17" t="s">
        <v>33</v>
      </c>
    </row>
    <row r="9" spans="1:13" ht="15" x14ac:dyDescent="0.2">
      <c r="A9" s="83" t="s">
        <v>39</v>
      </c>
      <c r="B9" s="84"/>
      <c r="C9" s="84"/>
      <c r="D9" s="84"/>
      <c r="E9" s="84"/>
      <c r="F9" s="84"/>
      <c r="G9" s="84"/>
      <c r="H9" s="84"/>
      <c r="I9" s="84"/>
      <c r="J9" s="84"/>
    </row>
    <row r="10" spans="1:13" x14ac:dyDescent="0.2">
      <c r="A10" s="23" t="s">
        <v>41</v>
      </c>
      <c r="B10" s="23" t="s">
        <v>42</v>
      </c>
      <c r="C10" s="23" t="s">
        <v>43</v>
      </c>
      <c r="D10" s="24" t="str">
        <f>"0,5407"</f>
        <v>0,5407</v>
      </c>
      <c r="E10" s="23" t="s">
        <v>22</v>
      </c>
      <c r="F10" s="23" t="s">
        <v>23</v>
      </c>
      <c r="G10" s="25" t="s">
        <v>46</v>
      </c>
      <c r="H10" s="26"/>
      <c r="I10" s="26"/>
      <c r="J10" s="26"/>
      <c r="K10" s="27" t="str">
        <f>"190,0"</f>
        <v>190,0</v>
      </c>
      <c r="L10" s="28" t="str">
        <f>"102,7330"</f>
        <v>102,7330</v>
      </c>
      <c r="M10" s="23" t="s">
        <v>33</v>
      </c>
    </row>
    <row r="12" spans="1:13" ht="15" x14ac:dyDescent="0.2">
      <c r="A12" s="83" t="s">
        <v>50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3" x14ac:dyDescent="0.2">
      <c r="A13" s="23" t="s">
        <v>52</v>
      </c>
      <c r="B13" s="23" t="s">
        <v>53</v>
      </c>
      <c r="C13" s="23" t="s">
        <v>54</v>
      </c>
      <c r="D13" s="24" t="str">
        <f>"0,5302"</f>
        <v>0,5302</v>
      </c>
      <c r="E13" s="23" t="s">
        <v>22</v>
      </c>
      <c r="F13" s="23" t="s">
        <v>23</v>
      </c>
      <c r="G13" s="25" t="s">
        <v>24</v>
      </c>
      <c r="H13" s="26" t="s">
        <v>30</v>
      </c>
      <c r="I13" s="25" t="s">
        <v>30</v>
      </c>
      <c r="J13" s="26"/>
      <c r="K13" s="27" t="str">
        <f>"245,0"</f>
        <v>245,0</v>
      </c>
      <c r="L13" s="28" t="str">
        <f>"129,8990"</f>
        <v>129,8990</v>
      </c>
      <c r="M13" s="23" t="s">
        <v>33</v>
      </c>
    </row>
    <row r="15" spans="1:13" ht="15" x14ac:dyDescent="0.2">
      <c r="E15" s="29" t="s">
        <v>57</v>
      </c>
    </row>
    <row r="16" spans="1:13" ht="15" x14ac:dyDescent="0.2">
      <c r="E16" s="29" t="s">
        <v>58</v>
      </c>
    </row>
    <row r="17" spans="1:5" ht="15" x14ac:dyDescent="0.2">
      <c r="E17" s="29" t="s">
        <v>59</v>
      </c>
    </row>
    <row r="18" spans="1:5" ht="15" x14ac:dyDescent="0.2">
      <c r="E18" s="29" t="s">
        <v>60</v>
      </c>
    </row>
    <row r="19" spans="1:5" ht="15" x14ac:dyDescent="0.2">
      <c r="E19" s="29" t="s">
        <v>60</v>
      </c>
    </row>
    <row r="20" spans="1:5" ht="15" x14ac:dyDescent="0.2">
      <c r="E20" s="29" t="s">
        <v>61</v>
      </c>
    </row>
    <row r="21" spans="1:5" ht="15" x14ac:dyDescent="0.2">
      <c r="E21" s="29"/>
    </row>
    <row r="23" spans="1:5" ht="18" x14ac:dyDescent="0.25">
      <c r="A23" s="30" t="s">
        <v>62</v>
      </c>
      <c r="B23" s="30"/>
    </row>
    <row r="24" spans="1:5" ht="15" x14ac:dyDescent="0.2">
      <c r="A24" s="31" t="s">
        <v>63</v>
      </c>
      <c r="B24" s="31"/>
    </row>
    <row r="25" spans="1:5" ht="14.25" x14ac:dyDescent="0.2">
      <c r="A25" s="33"/>
      <c r="B25" s="34" t="s">
        <v>64</v>
      </c>
    </row>
    <row r="26" spans="1:5" ht="15" x14ac:dyDescent="0.2">
      <c r="A26" s="35" t="s">
        <v>65</v>
      </c>
      <c r="B26" s="35" t="s">
        <v>66</v>
      </c>
      <c r="C26" s="35" t="s">
        <v>67</v>
      </c>
      <c r="D26" s="36" t="s">
        <v>366</v>
      </c>
      <c r="E26" s="35" t="s">
        <v>69</v>
      </c>
    </row>
    <row r="27" spans="1:5" x14ac:dyDescent="0.2">
      <c r="A27" s="32" t="s">
        <v>18</v>
      </c>
      <c r="B27" s="4" t="s">
        <v>64</v>
      </c>
      <c r="C27" s="4" t="s">
        <v>70</v>
      </c>
      <c r="D27" s="37">
        <v>270</v>
      </c>
      <c r="E27" s="38">
        <v>151.847995519638</v>
      </c>
    </row>
    <row r="28" spans="1:5" x14ac:dyDescent="0.2">
      <c r="A28" s="32" t="s">
        <v>51</v>
      </c>
      <c r="B28" s="4" t="s">
        <v>64</v>
      </c>
      <c r="C28" s="4" t="s">
        <v>71</v>
      </c>
      <c r="D28" s="37">
        <v>245</v>
      </c>
      <c r="E28" s="38">
        <v>129.899001121521</v>
      </c>
    </row>
    <row r="29" spans="1:5" x14ac:dyDescent="0.2">
      <c r="A29" s="32" t="s">
        <v>40</v>
      </c>
      <c r="B29" s="4" t="s">
        <v>64</v>
      </c>
      <c r="C29" s="4" t="s">
        <v>72</v>
      </c>
      <c r="D29" s="37">
        <v>190</v>
      </c>
      <c r="E29" s="38">
        <v>102.733003497124</v>
      </c>
    </row>
    <row r="31" spans="1:5" ht="14.25" x14ac:dyDescent="0.2">
      <c r="A31" s="33"/>
      <c r="B31" s="34" t="s">
        <v>73</v>
      </c>
    </row>
    <row r="32" spans="1:5" ht="15" x14ac:dyDescent="0.2">
      <c r="A32" s="35" t="s">
        <v>65</v>
      </c>
      <c r="B32" s="35" t="s">
        <v>66</v>
      </c>
      <c r="C32" s="35" t="s">
        <v>67</v>
      </c>
      <c r="D32" s="36" t="s">
        <v>366</v>
      </c>
      <c r="E32" s="35" t="s">
        <v>69</v>
      </c>
    </row>
    <row r="33" spans="1:5" x14ac:dyDescent="0.2">
      <c r="A33" s="32" t="s">
        <v>34</v>
      </c>
      <c r="B33" s="4" t="s">
        <v>74</v>
      </c>
      <c r="C33" s="4" t="s">
        <v>70</v>
      </c>
      <c r="D33" s="37">
        <v>270</v>
      </c>
      <c r="E33" s="38">
        <v>150.68699598312401</v>
      </c>
    </row>
  </sheetData>
  <mergeCells count="14">
    <mergeCell ref="A9:J9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7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15.28515625" style="4" bestFit="1" customWidth="1"/>
    <col min="14" max="16384" width="9.140625" style="3"/>
  </cols>
  <sheetData>
    <row r="1" spans="1:13" s="2" customFormat="1" ht="29.1" customHeight="1" x14ac:dyDescent="0.2">
      <c r="A1" s="82" t="s">
        <v>617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16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121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11" t="s">
        <v>477</v>
      </c>
      <c r="B6" s="11" t="s">
        <v>478</v>
      </c>
      <c r="C6" s="11" t="s">
        <v>479</v>
      </c>
      <c r="D6" s="12" t="str">
        <f>"0,7233"</f>
        <v>0,7233</v>
      </c>
      <c r="E6" s="11" t="s">
        <v>22</v>
      </c>
      <c r="F6" s="11" t="s">
        <v>23</v>
      </c>
      <c r="G6" s="13" t="s">
        <v>105</v>
      </c>
      <c r="H6" s="13" t="s">
        <v>106</v>
      </c>
      <c r="I6" s="13" t="s">
        <v>96</v>
      </c>
      <c r="J6" s="14"/>
      <c r="K6" s="15" t="str">
        <f>"100,0"</f>
        <v>100,0</v>
      </c>
      <c r="L6" s="16" t="str">
        <f>"72,3350"</f>
        <v>72,3350</v>
      </c>
      <c r="M6" s="11" t="s">
        <v>33</v>
      </c>
    </row>
    <row r="7" spans="1:13" x14ac:dyDescent="0.2">
      <c r="A7" s="17" t="s">
        <v>477</v>
      </c>
      <c r="B7" s="17" t="s">
        <v>484</v>
      </c>
      <c r="C7" s="17" t="s">
        <v>479</v>
      </c>
      <c r="D7" s="18" t="str">
        <f>"0,7233"</f>
        <v>0,7233</v>
      </c>
      <c r="E7" s="17" t="s">
        <v>22</v>
      </c>
      <c r="F7" s="17" t="s">
        <v>23</v>
      </c>
      <c r="G7" s="19" t="s">
        <v>105</v>
      </c>
      <c r="H7" s="19" t="s">
        <v>106</v>
      </c>
      <c r="I7" s="19" t="s">
        <v>96</v>
      </c>
      <c r="J7" s="20"/>
      <c r="K7" s="21" t="str">
        <f>"100,0"</f>
        <v>100,0</v>
      </c>
      <c r="L7" s="22" t="str">
        <f>"82,7512"</f>
        <v>82,7512</v>
      </c>
      <c r="M7" s="17" t="s">
        <v>33</v>
      </c>
    </row>
    <row r="9" spans="1:13" ht="15" x14ac:dyDescent="0.2">
      <c r="A9" s="83" t="s">
        <v>39</v>
      </c>
      <c r="B9" s="84"/>
      <c r="C9" s="84"/>
      <c r="D9" s="84"/>
      <c r="E9" s="84"/>
      <c r="F9" s="84"/>
      <c r="G9" s="84"/>
      <c r="H9" s="84"/>
      <c r="I9" s="84"/>
      <c r="J9" s="84"/>
    </row>
    <row r="10" spans="1:13" x14ac:dyDescent="0.2">
      <c r="A10" s="23" t="s">
        <v>619</v>
      </c>
      <c r="B10" s="23" t="s">
        <v>620</v>
      </c>
      <c r="C10" s="23" t="s">
        <v>621</v>
      </c>
      <c r="D10" s="24" t="str">
        <f>"0,5368"</f>
        <v>0,5368</v>
      </c>
      <c r="E10" s="23" t="s">
        <v>622</v>
      </c>
      <c r="F10" s="23" t="s">
        <v>195</v>
      </c>
      <c r="G10" s="25" t="s">
        <v>319</v>
      </c>
      <c r="H10" s="25" t="s">
        <v>223</v>
      </c>
      <c r="I10" s="26" t="s">
        <v>606</v>
      </c>
      <c r="J10" s="26"/>
      <c r="K10" s="27" t="str">
        <f>"250,0"</f>
        <v>250,0</v>
      </c>
      <c r="L10" s="28" t="str">
        <f>"134,2000"</f>
        <v>134,2000</v>
      </c>
      <c r="M10" s="23" t="s">
        <v>623</v>
      </c>
    </row>
    <row r="12" spans="1:13" ht="15" x14ac:dyDescent="0.2">
      <c r="A12" s="83" t="s">
        <v>50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3" x14ac:dyDescent="0.2">
      <c r="A13" s="23" t="s">
        <v>625</v>
      </c>
      <c r="B13" s="23" t="s">
        <v>626</v>
      </c>
      <c r="C13" s="23" t="s">
        <v>627</v>
      </c>
      <c r="D13" s="24" t="str">
        <f>"0,5223"</f>
        <v>0,5223</v>
      </c>
      <c r="E13" s="23" t="s">
        <v>628</v>
      </c>
      <c r="F13" s="23" t="s">
        <v>195</v>
      </c>
      <c r="G13" s="25" t="s">
        <v>31</v>
      </c>
      <c r="H13" s="26" t="s">
        <v>32</v>
      </c>
      <c r="I13" s="26" t="s">
        <v>32</v>
      </c>
      <c r="J13" s="26"/>
      <c r="K13" s="27" t="str">
        <f>"260,0"</f>
        <v>260,0</v>
      </c>
      <c r="L13" s="28" t="str">
        <f>"137,0202"</f>
        <v>137,0202</v>
      </c>
      <c r="M13" s="23" t="s">
        <v>199</v>
      </c>
    </row>
    <row r="15" spans="1:13" ht="15" x14ac:dyDescent="0.2">
      <c r="A15" s="83" t="s">
        <v>629</v>
      </c>
      <c r="B15" s="84"/>
      <c r="C15" s="84"/>
      <c r="D15" s="84"/>
      <c r="E15" s="84"/>
      <c r="F15" s="84"/>
      <c r="G15" s="84"/>
      <c r="H15" s="84"/>
      <c r="I15" s="84"/>
      <c r="J15" s="84"/>
    </row>
    <row r="16" spans="1:13" x14ac:dyDescent="0.2">
      <c r="A16" s="23" t="s">
        <v>631</v>
      </c>
      <c r="B16" s="23" t="s">
        <v>632</v>
      </c>
      <c r="C16" s="23" t="s">
        <v>633</v>
      </c>
      <c r="D16" s="24" t="str">
        <f>"0,5033"</f>
        <v>0,5033</v>
      </c>
      <c r="E16" s="23" t="s">
        <v>194</v>
      </c>
      <c r="F16" s="23" t="s">
        <v>634</v>
      </c>
      <c r="G16" s="25" t="s">
        <v>635</v>
      </c>
      <c r="H16" s="26" t="s">
        <v>636</v>
      </c>
      <c r="I16" s="26" t="s">
        <v>636</v>
      </c>
      <c r="J16" s="26"/>
      <c r="K16" s="27" t="str">
        <f>"330,0"</f>
        <v>330,0</v>
      </c>
      <c r="L16" s="28" t="str">
        <f>"166,0824"</f>
        <v>166,0824</v>
      </c>
      <c r="M16" s="23" t="s">
        <v>199</v>
      </c>
    </row>
    <row r="18" spans="1:5" ht="15" x14ac:dyDescent="0.2">
      <c r="E18" s="29" t="s">
        <v>57</v>
      </c>
    </row>
    <row r="19" spans="1:5" ht="15" x14ac:dyDescent="0.2">
      <c r="E19" s="29" t="s">
        <v>58</v>
      </c>
    </row>
    <row r="20" spans="1:5" ht="15" x14ac:dyDescent="0.2">
      <c r="E20" s="29" t="s">
        <v>59</v>
      </c>
    </row>
    <row r="21" spans="1:5" ht="15" x14ac:dyDescent="0.2">
      <c r="E21" s="29" t="s">
        <v>60</v>
      </c>
    </row>
    <row r="22" spans="1:5" ht="15" x14ac:dyDescent="0.2">
      <c r="E22" s="29" t="s">
        <v>60</v>
      </c>
    </row>
    <row r="23" spans="1:5" ht="15" x14ac:dyDescent="0.2">
      <c r="E23" s="29" t="s">
        <v>61</v>
      </c>
    </row>
    <row r="24" spans="1:5" ht="15" x14ac:dyDescent="0.2">
      <c r="E24" s="29"/>
    </row>
    <row r="26" spans="1:5" ht="18" x14ac:dyDescent="0.25">
      <c r="A26" s="30" t="s">
        <v>62</v>
      </c>
      <c r="B26" s="30"/>
    </row>
    <row r="27" spans="1:5" ht="15" x14ac:dyDescent="0.2">
      <c r="A27" s="31" t="s">
        <v>266</v>
      </c>
      <c r="B27" s="31"/>
    </row>
    <row r="28" spans="1:5" ht="14.25" x14ac:dyDescent="0.2">
      <c r="A28" s="33"/>
      <c r="B28" s="34" t="s">
        <v>64</v>
      </c>
    </row>
    <row r="29" spans="1:5" ht="15" x14ac:dyDescent="0.2">
      <c r="A29" s="35" t="s">
        <v>65</v>
      </c>
      <c r="B29" s="35" t="s">
        <v>66</v>
      </c>
      <c r="C29" s="35" t="s">
        <v>67</v>
      </c>
      <c r="D29" s="36" t="s">
        <v>366</v>
      </c>
      <c r="E29" s="35" t="s">
        <v>69</v>
      </c>
    </row>
    <row r="30" spans="1:5" x14ac:dyDescent="0.2">
      <c r="A30" s="32" t="s">
        <v>476</v>
      </c>
      <c r="B30" s="4" t="s">
        <v>64</v>
      </c>
      <c r="C30" s="4" t="s">
        <v>271</v>
      </c>
      <c r="D30" s="37">
        <v>100</v>
      </c>
      <c r="E30" s="38">
        <v>72.334998846054106</v>
      </c>
    </row>
    <row r="32" spans="1:5" ht="14.25" x14ac:dyDescent="0.2">
      <c r="A32" s="33"/>
      <c r="B32" s="34" t="s">
        <v>73</v>
      </c>
    </row>
    <row r="33" spans="1:5" ht="15" x14ac:dyDescent="0.2">
      <c r="A33" s="35" t="s">
        <v>65</v>
      </c>
      <c r="B33" s="35" t="s">
        <v>66</v>
      </c>
      <c r="C33" s="35" t="s">
        <v>67</v>
      </c>
      <c r="D33" s="36" t="s">
        <v>366</v>
      </c>
      <c r="E33" s="35" t="s">
        <v>69</v>
      </c>
    </row>
    <row r="34" spans="1:5" x14ac:dyDescent="0.2">
      <c r="A34" s="32" t="s">
        <v>476</v>
      </c>
      <c r="B34" s="4" t="s">
        <v>275</v>
      </c>
      <c r="C34" s="4" t="s">
        <v>271</v>
      </c>
      <c r="D34" s="37">
        <v>100</v>
      </c>
      <c r="E34" s="38">
        <v>82.751238679885901</v>
      </c>
    </row>
    <row r="37" spans="1:5" ht="15" x14ac:dyDescent="0.2">
      <c r="A37" s="31" t="s">
        <v>63</v>
      </c>
      <c r="B37" s="31"/>
    </row>
    <row r="38" spans="1:5" ht="14.25" x14ac:dyDescent="0.2">
      <c r="A38" s="33"/>
      <c r="B38" s="34" t="s">
        <v>64</v>
      </c>
    </row>
    <row r="39" spans="1:5" ht="15" x14ac:dyDescent="0.2">
      <c r="A39" s="35" t="s">
        <v>65</v>
      </c>
      <c r="B39" s="35" t="s">
        <v>66</v>
      </c>
      <c r="C39" s="35" t="s">
        <v>67</v>
      </c>
      <c r="D39" s="36" t="s">
        <v>366</v>
      </c>
      <c r="E39" s="35" t="s">
        <v>69</v>
      </c>
    </row>
    <row r="40" spans="1:5" x14ac:dyDescent="0.2">
      <c r="A40" s="32" t="s">
        <v>630</v>
      </c>
      <c r="B40" s="4" t="s">
        <v>64</v>
      </c>
      <c r="C40" s="4" t="s">
        <v>637</v>
      </c>
      <c r="D40" s="37">
        <v>330</v>
      </c>
      <c r="E40" s="38">
        <v>166.08239471912401</v>
      </c>
    </row>
    <row r="42" spans="1:5" ht="14.25" x14ac:dyDescent="0.2">
      <c r="A42" s="33"/>
      <c r="B42" s="34" t="s">
        <v>73</v>
      </c>
    </row>
    <row r="43" spans="1:5" ht="15" x14ac:dyDescent="0.2">
      <c r="A43" s="35" t="s">
        <v>65</v>
      </c>
      <c r="B43" s="35" t="s">
        <v>66</v>
      </c>
      <c r="C43" s="35" t="s">
        <v>67</v>
      </c>
      <c r="D43" s="36" t="s">
        <v>366</v>
      </c>
      <c r="E43" s="35" t="s">
        <v>69</v>
      </c>
    </row>
    <row r="44" spans="1:5" x14ac:dyDescent="0.2">
      <c r="A44" s="32" t="s">
        <v>624</v>
      </c>
      <c r="B44" s="4" t="s">
        <v>74</v>
      </c>
      <c r="C44" s="4" t="s">
        <v>71</v>
      </c>
      <c r="D44" s="37">
        <v>260</v>
      </c>
      <c r="E44" s="38">
        <v>137.02018330097201</v>
      </c>
    </row>
    <row r="45" spans="1:5" x14ac:dyDescent="0.2">
      <c r="A45" s="32" t="s">
        <v>618</v>
      </c>
      <c r="B45" s="4" t="s">
        <v>74</v>
      </c>
      <c r="C45" s="4" t="s">
        <v>72</v>
      </c>
      <c r="D45" s="37">
        <v>250</v>
      </c>
      <c r="E45" s="38">
        <v>134.20000672340399</v>
      </c>
    </row>
  </sheetData>
  <mergeCells count="15">
    <mergeCell ref="A9:J9"/>
    <mergeCell ref="A12:J12"/>
    <mergeCell ref="A15:J1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opLeftCell="A61" workbookViewId="0">
      <selection activeCell="N83" sqref="N8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8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27.5703125" style="4" bestFit="1" customWidth="1"/>
    <col min="14" max="16384" width="9.140625" style="3"/>
  </cols>
  <sheetData>
    <row r="1" spans="1:13" s="2" customFormat="1" ht="29.1" customHeight="1" x14ac:dyDescent="0.2">
      <c r="A1" s="82" t="s">
        <v>502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16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3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3" ht="15" x14ac:dyDescent="0.2">
      <c r="A5" s="80" t="s">
        <v>491</v>
      </c>
      <c r="B5" s="81"/>
      <c r="C5" s="81"/>
      <c r="D5" s="81"/>
      <c r="E5" s="81"/>
      <c r="F5" s="81"/>
      <c r="G5" s="81"/>
      <c r="H5" s="81"/>
      <c r="I5" s="81"/>
      <c r="J5" s="81"/>
    </row>
    <row r="6" spans="1:13" x14ac:dyDescent="0.2">
      <c r="A6" s="23" t="s">
        <v>504</v>
      </c>
      <c r="B6" s="23" t="s">
        <v>505</v>
      </c>
      <c r="C6" s="23" t="s">
        <v>506</v>
      </c>
      <c r="D6" s="24" t="str">
        <f>"1,0008"</f>
        <v>1,0008</v>
      </c>
      <c r="E6" s="23" t="s">
        <v>507</v>
      </c>
      <c r="F6" s="23" t="s">
        <v>240</v>
      </c>
      <c r="G6" s="25" t="s">
        <v>110</v>
      </c>
      <c r="H6" s="25" t="s">
        <v>111</v>
      </c>
      <c r="I6" s="25" t="s">
        <v>176</v>
      </c>
      <c r="J6" s="26"/>
      <c r="K6" s="27" t="str">
        <f>"135,0"</f>
        <v>135,0</v>
      </c>
      <c r="L6" s="28" t="str">
        <f>"135,1080"</f>
        <v>135,1080</v>
      </c>
      <c r="M6" s="23" t="s">
        <v>508</v>
      </c>
    </row>
    <row r="8" spans="1:13" ht="15" x14ac:dyDescent="0.2">
      <c r="A8" s="83" t="s">
        <v>76</v>
      </c>
      <c r="B8" s="84"/>
      <c r="C8" s="84"/>
      <c r="D8" s="84"/>
      <c r="E8" s="84"/>
      <c r="F8" s="84"/>
      <c r="G8" s="84"/>
      <c r="H8" s="84"/>
      <c r="I8" s="84"/>
      <c r="J8" s="84"/>
    </row>
    <row r="9" spans="1:13" x14ac:dyDescent="0.2">
      <c r="A9" s="11" t="s">
        <v>510</v>
      </c>
      <c r="B9" s="11" t="s">
        <v>511</v>
      </c>
      <c r="C9" s="11" t="s">
        <v>512</v>
      </c>
      <c r="D9" s="12" t="str">
        <f>"0,9617"</f>
        <v>0,9617</v>
      </c>
      <c r="E9" s="11" t="s">
        <v>22</v>
      </c>
      <c r="F9" s="11" t="s">
        <v>23</v>
      </c>
      <c r="G9" s="13" t="s">
        <v>106</v>
      </c>
      <c r="H9" s="13" t="s">
        <v>107</v>
      </c>
      <c r="I9" s="13" t="s">
        <v>513</v>
      </c>
      <c r="J9" s="14"/>
      <c r="K9" s="15" t="str">
        <f>"107,5"</f>
        <v>107,5</v>
      </c>
      <c r="L9" s="16" t="str">
        <f>"103,3881"</f>
        <v>103,3881</v>
      </c>
      <c r="M9" s="11" t="s">
        <v>33</v>
      </c>
    </row>
    <row r="10" spans="1:13" x14ac:dyDescent="0.2">
      <c r="A10" s="39" t="s">
        <v>515</v>
      </c>
      <c r="B10" s="39" t="s">
        <v>516</v>
      </c>
      <c r="C10" s="39" t="s">
        <v>517</v>
      </c>
      <c r="D10" s="40" t="str">
        <f>"0,9133"</f>
        <v>0,9133</v>
      </c>
      <c r="E10" s="39" t="s">
        <v>222</v>
      </c>
      <c r="F10" s="39" t="s">
        <v>195</v>
      </c>
      <c r="G10" s="41" t="s">
        <v>100</v>
      </c>
      <c r="H10" s="41" t="s">
        <v>394</v>
      </c>
      <c r="I10" s="41" t="s">
        <v>162</v>
      </c>
      <c r="J10" s="42"/>
      <c r="K10" s="43" t="str">
        <f>"77,5"</f>
        <v>77,5</v>
      </c>
      <c r="L10" s="44" t="str">
        <f>"70,7807"</f>
        <v>70,7807</v>
      </c>
      <c r="M10" s="39" t="s">
        <v>224</v>
      </c>
    </row>
    <row r="11" spans="1:13" x14ac:dyDescent="0.2">
      <c r="A11" s="39" t="s">
        <v>519</v>
      </c>
      <c r="B11" s="39" t="s">
        <v>520</v>
      </c>
      <c r="C11" s="39" t="s">
        <v>521</v>
      </c>
      <c r="D11" s="40" t="str">
        <f>"0,9256"</f>
        <v>0,9256</v>
      </c>
      <c r="E11" s="39" t="s">
        <v>222</v>
      </c>
      <c r="F11" s="39" t="s">
        <v>195</v>
      </c>
      <c r="G11" s="41" t="s">
        <v>100</v>
      </c>
      <c r="H11" s="41" t="s">
        <v>87</v>
      </c>
      <c r="I11" s="41" t="s">
        <v>105</v>
      </c>
      <c r="J11" s="42"/>
      <c r="K11" s="43" t="str">
        <f>"75,0"</f>
        <v>75,0</v>
      </c>
      <c r="L11" s="44" t="str">
        <f>"69,4200"</f>
        <v>69,4200</v>
      </c>
      <c r="M11" s="39" t="s">
        <v>224</v>
      </c>
    </row>
    <row r="12" spans="1:13" x14ac:dyDescent="0.2">
      <c r="A12" s="39" t="s">
        <v>523</v>
      </c>
      <c r="B12" s="39" t="s">
        <v>524</v>
      </c>
      <c r="C12" s="39" t="s">
        <v>525</v>
      </c>
      <c r="D12" s="40" t="str">
        <f>"0,9187"</f>
        <v>0,9187</v>
      </c>
      <c r="E12" s="39" t="s">
        <v>222</v>
      </c>
      <c r="F12" s="39" t="s">
        <v>195</v>
      </c>
      <c r="G12" s="41" t="s">
        <v>100</v>
      </c>
      <c r="H12" s="41" t="s">
        <v>292</v>
      </c>
      <c r="I12" s="41" t="s">
        <v>87</v>
      </c>
      <c r="J12" s="42"/>
      <c r="K12" s="43" t="str">
        <f>"70,0"</f>
        <v>70,0</v>
      </c>
      <c r="L12" s="44" t="str">
        <f>"64,3090"</f>
        <v>64,3090</v>
      </c>
      <c r="M12" s="39" t="s">
        <v>335</v>
      </c>
    </row>
    <row r="13" spans="1:13" x14ac:dyDescent="0.2">
      <c r="A13" s="17" t="s">
        <v>78</v>
      </c>
      <c r="B13" s="17" t="s">
        <v>90</v>
      </c>
      <c r="C13" s="17" t="s">
        <v>80</v>
      </c>
      <c r="D13" s="18" t="str">
        <f>"0,9455"</f>
        <v>0,9455</v>
      </c>
      <c r="E13" s="17" t="s">
        <v>22</v>
      </c>
      <c r="F13" s="17" t="s">
        <v>23</v>
      </c>
      <c r="G13" s="19" t="s">
        <v>87</v>
      </c>
      <c r="H13" s="19" t="s">
        <v>88</v>
      </c>
      <c r="I13" s="20" t="s">
        <v>89</v>
      </c>
      <c r="J13" s="20"/>
      <c r="K13" s="21" t="str">
        <f>"80,0"</f>
        <v>80,0</v>
      </c>
      <c r="L13" s="22" t="str">
        <f>"86,5322"</f>
        <v>86,5322</v>
      </c>
      <c r="M13" s="17" t="s">
        <v>33</v>
      </c>
    </row>
    <row r="15" spans="1:13" ht="15" x14ac:dyDescent="0.2">
      <c r="A15" s="83" t="s">
        <v>91</v>
      </c>
      <c r="B15" s="84"/>
      <c r="C15" s="84"/>
      <c r="D15" s="84"/>
      <c r="E15" s="84"/>
      <c r="F15" s="84"/>
      <c r="G15" s="84"/>
      <c r="H15" s="84"/>
      <c r="I15" s="84"/>
      <c r="J15" s="84"/>
    </row>
    <row r="16" spans="1:13" x14ac:dyDescent="0.2">
      <c r="A16" s="11" t="s">
        <v>93</v>
      </c>
      <c r="B16" s="11" t="s">
        <v>94</v>
      </c>
      <c r="C16" s="11" t="s">
        <v>95</v>
      </c>
      <c r="D16" s="12" t="str">
        <f>"0,8609"</f>
        <v>0,8609</v>
      </c>
      <c r="E16" s="11" t="s">
        <v>22</v>
      </c>
      <c r="F16" s="11" t="s">
        <v>23</v>
      </c>
      <c r="G16" s="13" t="s">
        <v>44</v>
      </c>
      <c r="H16" s="13" t="s">
        <v>27</v>
      </c>
      <c r="I16" s="14" t="s">
        <v>101</v>
      </c>
      <c r="J16" s="14"/>
      <c r="K16" s="15" t="str">
        <f>"160,0"</f>
        <v>160,0</v>
      </c>
      <c r="L16" s="16" t="str">
        <f>"137,7440"</f>
        <v>137,7440</v>
      </c>
      <c r="M16" s="11" t="s">
        <v>33</v>
      </c>
    </row>
    <row r="17" spans="1:14" x14ac:dyDescent="0.2">
      <c r="A17" s="39" t="s">
        <v>328</v>
      </c>
      <c r="B17" s="39" t="s">
        <v>526</v>
      </c>
      <c r="C17" s="39" t="s">
        <v>330</v>
      </c>
      <c r="D17" s="40" t="str">
        <f>"0,8647"</f>
        <v>0,8647</v>
      </c>
      <c r="E17" s="39" t="s">
        <v>222</v>
      </c>
      <c r="F17" s="39" t="s">
        <v>195</v>
      </c>
      <c r="G17" s="41" t="s">
        <v>449</v>
      </c>
      <c r="H17" s="41" t="s">
        <v>111</v>
      </c>
      <c r="I17" s="41" t="s">
        <v>176</v>
      </c>
      <c r="J17" s="42"/>
      <c r="K17" s="43" t="str">
        <f>"135,0"</f>
        <v>135,0</v>
      </c>
      <c r="L17" s="44" t="str">
        <f>"118,8289"</f>
        <v>118,8289</v>
      </c>
      <c r="M17" s="39" t="s">
        <v>224</v>
      </c>
    </row>
    <row r="18" spans="1:14" x14ac:dyDescent="0.2">
      <c r="A18" s="52" t="s">
        <v>103</v>
      </c>
      <c r="B18" s="52" t="s">
        <v>104</v>
      </c>
      <c r="C18" s="52" t="s">
        <v>95</v>
      </c>
      <c r="D18" s="53" t="str">
        <f>"0,8609"</f>
        <v>0,8609</v>
      </c>
      <c r="E18" s="52" t="s">
        <v>22</v>
      </c>
      <c r="F18" s="52" t="s">
        <v>23</v>
      </c>
      <c r="G18" s="54" t="s">
        <v>109</v>
      </c>
      <c r="H18" s="54" t="s">
        <v>110</v>
      </c>
      <c r="I18" s="54" t="s">
        <v>111</v>
      </c>
      <c r="J18" s="55"/>
      <c r="K18" s="56" t="str">
        <f>"130,0"</f>
        <v>130,0</v>
      </c>
      <c r="L18" s="57" t="str">
        <f>"160,0413"</f>
        <v>160,0413</v>
      </c>
      <c r="M18" s="52" t="s">
        <v>33</v>
      </c>
      <c r="N18" s="58" t="s">
        <v>655</v>
      </c>
    </row>
    <row r="20" spans="1:14" ht="15" x14ac:dyDescent="0.2">
      <c r="A20" s="83" t="s">
        <v>112</v>
      </c>
      <c r="B20" s="84"/>
      <c r="C20" s="84"/>
      <c r="D20" s="84"/>
      <c r="E20" s="84"/>
      <c r="F20" s="84"/>
      <c r="G20" s="84"/>
      <c r="H20" s="84"/>
      <c r="I20" s="84"/>
      <c r="J20" s="84"/>
    </row>
    <row r="21" spans="1:14" x14ac:dyDescent="0.2">
      <c r="A21" s="11" t="s">
        <v>390</v>
      </c>
      <c r="B21" s="11" t="s">
        <v>391</v>
      </c>
      <c r="C21" s="11" t="s">
        <v>392</v>
      </c>
      <c r="D21" s="12" t="str">
        <f>"0,7832"</f>
        <v>0,7832</v>
      </c>
      <c r="E21" s="11" t="s">
        <v>194</v>
      </c>
      <c r="F21" s="11" t="s">
        <v>393</v>
      </c>
      <c r="G21" s="13" t="s">
        <v>97</v>
      </c>
      <c r="H21" s="13" t="s">
        <v>133</v>
      </c>
      <c r="I21" s="13" t="s">
        <v>110</v>
      </c>
      <c r="J21" s="14"/>
      <c r="K21" s="15" t="str">
        <f>"125,0"</f>
        <v>125,0</v>
      </c>
      <c r="L21" s="16" t="str">
        <f>"97,9000"</f>
        <v>97,9000</v>
      </c>
      <c r="M21" s="11" t="s">
        <v>395</v>
      </c>
    </row>
    <row r="22" spans="1:14" x14ac:dyDescent="0.2">
      <c r="A22" s="39" t="s">
        <v>528</v>
      </c>
      <c r="B22" s="39" t="s">
        <v>529</v>
      </c>
      <c r="C22" s="39" t="s">
        <v>530</v>
      </c>
      <c r="D22" s="40" t="str">
        <f>"0,7913"</f>
        <v>0,7913</v>
      </c>
      <c r="E22" s="39" t="s">
        <v>22</v>
      </c>
      <c r="F22" s="39" t="s">
        <v>23</v>
      </c>
      <c r="G22" s="41" t="s">
        <v>96</v>
      </c>
      <c r="H22" s="41" t="s">
        <v>97</v>
      </c>
      <c r="I22" s="41" t="s">
        <v>133</v>
      </c>
      <c r="J22" s="42"/>
      <c r="K22" s="43" t="str">
        <f>"120,0"</f>
        <v>120,0</v>
      </c>
      <c r="L22" s="44" t="str">
        <f>"94,9560"</f>
        <v>94,9560</v>
      </c>
      <c r="M22" s="39" t="s">
        <v>33</v>
      </c>
    </row>
    <row r="23" spans="1:14" x14ac:dyDescent="0.2">
      <c r="A23" s="17" t="s">
        <v>532</v>
      </c>
      <c r="B23" s="17" t="s">
        <v>533</v>
      </c>
      <c r="C23" s="17" t="s">
        <v>534</v>
      </c>
      <c r="D23" s="18" t="str">
        <f>"0,7964"</f>
        <v>0,7964</v>
      </c>
      <c r="E23" s="17" t="s">
        <v>222</v>
      </c>
      <c r="F23" s="17" t="s">
        <v>195</v>
      </c>
      <c r="G23" s="19" t="s">
        <v>89</v>
      </c>
      <c r="H23" s="19" t="s">
        <v>107</v>
      </c>
      <c r="I23" s="19" t="s">
        <v>96</v>
      </c>
      <c r="J23" s="20"/>
      <c r="K23" s="21" t="str">
        <f>"100,0"</f>
        <v>100,0</v>
      </c>
      <c r="L23" s="22" t="str">
        <f>"79,6400"</f>
        <v>79,6400</v>
      </c>
      <c r="M23" s="17" t="s">
        <v>224</v>
      </c>
    </row>
    <row r="25" spans="1:14" ht="15" x14ac:dyDescent="0.2">
      <c r="A25" s="83" t="s">
        <v>112</v>
      </c>
      <c r="B25" s="84"/>
      <c r="C25" s="84"/>
      <c r="D25" s="84"/>
      <c r="E25" s="84"/>
      <c r="F25" s="84"/>
      <c r="G25" s="84"/>
      <c r="H25" s="84"/>
      <c r="I25" s="84"/>
      <c r="J25" s="84"/>
    </row>
    <row r="26" spans="1:14" x14ac:dyDescent="0.2">
      <c r="A26" s="23" t="s">
        <v>332</v>
      </c>
      <c r="B26" s="23" t="s">
        <v>535</v>
      </c>
      <c r="C26" s="23" t="s">
        <v>334</v>
      </c>
      <c r="D26" s="24" t="str">
        <f>"0,7317"</f>
        <v>0,7317</v>
      </c>
      <c r="E26" s="23" t="s">
        <v>222</v>
      </c>
      <c r="F26" s="23" t="s">
        <v>195</v>
      </c>
      <c r="G26" s="25" t="s">
        <v>111</v>
      </c>
      <c r="H26" s="25" t="s">
        <v>47</v>
      </c>
      <c r="I26" s="25" t="s">
        <v>318</v>
      </c>
      <c r="J26" s="26"/>
      <c r="K26" s="27" t="str">
        <f>"142,5"</f>
        <v>142,5</v>
      </c>
      <c r="L26" s="28" t="str">
        <f>"104,5801"</f>
        <v>104,5801</v>
      </c>
      <c r="M26" s="23" t="s">
        <v>335</v>
      </c>
    </row>
    <row r="28" spans="1:14" ht="15" x14ac:dyDescent="0.2">
      <c r="A28" s="83" t="s">
        <v>112</v>
      </c>
      <c r="B28" s="84"/>
      <c r="C28" s="84"/>
      <c r="D28" s="84"/>
      <c r="E28" s="84"/>
      <c r="F28" s="84"/>
      <c r="G28" s="84"/>
      <c r="H28" s="84"/>
      <c r="I28" s="84"/>
      <c r="J28" s="84"/>
    </row>
    <row r="29" spans="1:14" x14ac:dyDescent="0.2">
      <c r="A29" s="23" t="s">
        <v>536</v>
      </c>
      <c r="B29" s="23" t="s">
        <v>537</v>
      </c>
      <c r="C29" s="23" t="s">
        <v>530</v>
      </c>
      <c r="D29" s="24" t="str">
        <f>"0,7913"</f>
        <v>0,7913</v>
      </c>
      <c r="E29" s="23" t="s">
        <v>22</v>
      </c>
      <c r="F29" s="23" t="s">
        <v>23</v>
      </c>
      <c r="G29" s="25" t="s">
        <v>96</v>
      </c>
      <c r="H29" s="25" t="s">
        <v>97</v>
      </c>
      <c r="I29" s="25" t="s">
        <v>133</v>
      </c>
      <c r="J29" s="26"/>
      <c r="K29" s="27" t="str">
        <f>"120,0"</f>
        <v>120,0</v>
      </c>
      <c r="L29" s="28" t="str">
        <f>"96,6652"</f>
        <v>96,6652</v>
      </c>
      <c r="M29" s="23" t="s">
        <v>33</v>
      </c>
    </row>
    <row r="31" spans="1:14" ht="15" x14ac:dyDescent="0.2">
      <c r="A31" s="83" t="s">
        <v>121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4" x14ac:dyDescent="0.2">
      <c r="A32" s="11" t="s">
        <v>397</v>
      </c>
      <c r="B32" s="11" t="s">
        <v>398</v>
      </c>
      <c r="C32" s="11" t="s">
        <v>399</v>
      </c>
      <c r="D32" s="12" t="str">
        <f>"0,7717"</f>
        <v>0,7717</v>
      </c>
      <c r="E32" s="11" t="s">
        <v>194</v>
      </c>
      <c r="F32" s="11" t="s">
        <v>195</v>
      </c>
      <c r="G32" s="13" t="s">
        <v>109</v>
      </c>
      <c r="H32" s="14" t="s">
        <v>133</v>
      </c>
      <c r="I32" s="13" t="s">
        <v>449</v>
      </c>
      <c r="J32" s="14"/>
      <c r="K32" s="15" t="str">
        <f>"122,5"</f>
        <v>122,5</v>
      </c>
      <c r="L32" s="16" t="str">
        <f>"94,5333"</f>
        <v>94,5333</v>
      </c>
      <c r="M32" s="11" t="s">
        <v>199</v>
      </c>
    </row>
    <row r="33" spans="1:13" x14ac:dyDescent="0.2">
      <c r="A33" s="39" t="s">
        <v>539</v>
      </c>
      <c r="B33" s="39" t="s">
        <v>540</v>
      </c>
      <c r="C33" s="39" t="s">
        <v>541</v>
      </c>
      <c r="D33" s="40" t="str">
        <f>"0,7546"</f>
        <v>0,7546</v>
      </c>
      <c r="E33" s="39" t="s">
        <v>22</v>
      </c>
      <c r="F33" s="39" t="s">
        <v>23</v>
      </c>
      <c r="G33" s="41" t="s">
        <v>96</v>
      </c>
      <c r="H33" s="41" t="s">
        <v>109</v>
      </c>
      <c r="I33" s="42" t="s">
        <v>111</v>
      </c>
      <c r="J33" s="42"/>
      <c r="K33" s="43" t="str">
        <f>"115,0"</f>
        <v>115,0</v>
      </c>
      <c r="L33" s="44" t="str">
        <f>"86,7847"</f>
        <v>86,7847</v>
      </c>
      <c r="M33" s="39" t="s">
        <v>33</v>
      </c>
    </row>
    <row r="34" spans="1:13" x14ac:dyDescent="0.2">
      <c r="A34" s="17" t="s">
        <v>543</v>
      </c>
      <c r="B34" s="17" t="s">
        <v>544</v>
      </c>
      <c r="C34" s="17" t="s">
        <v>545</v>
      </c>
      <c r="D34" s="18" t="str">
        <f>"0,7607"</f>
        <v>0,7607</v>
      </c>
      <c r="E34" s="17" t="s">
        <v>222</v>
      </c>
      <c r="F34" s="17" t="s">
        <v>195</v>
      </c>
      <c r="G34" s="19" t="s">
        <v>89</v>
      </c>
      <c r="H34" s="19" t="s">
        <v>107</v>
      </c>
      <c r="I34" s="19" t="s">
        <v>96</v>
      </c>
      <c r="J34" s="20"/>
      <c r="K34" s="21" t="str">
        <f>"100,0"</f>
        <v>100,0</v>
      </c>
      <c r="L34" s="22" t="str">
        <f>"76,0750"</f>
        <v>76,0750</v>
      </c>
      <c r="M34" s="17" t="s">
        <v>224</v>
      </c>
    </row>
    <row r="36" spans="1:13" ht="15" x14ac:dyDescent="0.2">
      <c r="A36" s="83" t="s">
        <v>127</v>
      </c>
      <c r="B36" s="84"/>
      <c r="C36" s="84"/>
      <c r="D36" s="84"/>
      <c r="E36" s="84"/>
      <c r="F36" s="84"/>
      <c r="G36" s="84"/>
      <c r="H36" s="84"/>
      <c r="I36" s="84"/>
      <c r="J36" s="84"/>
    </row>
    <row r="37" spans="1:13" x14ac:dyDescent="0.2">
      <c r="A37" s="11" t="s">
        <v>129</v>
      </c>
      <c r="B37" s="11" t="s">
        <v>130</v>
      </c>
      <c r="C37" s="11" t="s">
        <v>131</v>
      </c>
      <c r="D37" s="12" t="str">
        <f>"0,5545"</f>
        <v>0,5545</v>
      </c>
      <c r="E37" s="11" t="s">
        <v>22</v>
      </c>
      <c r="F37" s="11" t="s">
        <v>23</v>
      </c>
      <c r="G37" s="13" t="s">
        <v>133</v>
      </c>
      <c r="H37" s="13" t="s">
        <v>111</v>
      </c>
      <c r="I37" s="13" t="s">
        <v>47</v>
      </c>
      <c r="J37" s="14"/>
      <c r="K37" s="15" t="str">
        <f>"140,0"</f>
        <v>140,0</v>
      </c>
      <c r="L37" s="16" t="str">
        <f>"77,6370"</f>
        <v>77,6370</v>
      </c>
      <c r="M37" s="11" t="s">
        <v>33</v>
      </c>
    </row>
    <row r="38" spans="1:13" x14ac:dyDescent="0.2">
      <c r="A38" s="17" t="s">
        <v>547</v>
      </c>
      <c r="B38" s="17" t="s">
        <v>548</v>
      </c>
      <c r="C38" s="17" t="s">
        <v>549</v>
      </c>
      <c r="D38" s="18" t="str">
        <f>"0,5676"</f>
        <v>0,5676</v>
      </c>
      <c r="E38" s="17" t="s">
        <v>194</v>
      </c>
      <c r="F38" s="17" t="s">
        <v>240</v>
      </c>
      <c r="G38" s="19" t="s">
        <v>181</v>
      </c>
      <c r="H38" s="20" t="s">
        <v>550</v>
      </c>
      <c r="I38" s="20" t="s">
        <v>550</v>
      </c>
      <c r="J38" s="20"/>
      <c r="K38" s="21" t="str">
        <f>"145,0"</f>
        <v>145,0</v>
      </c>
      <c r="L38" s="22" t="str">
        <f>"84,8534"</f>
        <v>84,8534</v>
      </c>
      <c r="M38" s="17" t="s">
        <v>199</v>
      </c>
    </row>
    <row r="40" spans="1:13" ht="15" x14ac:dyDescent="0.2">
      <c r="A40" s="83" t="s">
        <v>408</v>
      </c>
      <c r="B40" s="84"/>
      <c r="C40" s="84"/>
      <c r="D40" s="84"/>
      <c r="E40" s="84"/>
      <c r="F40" s="84"/>
      <c r="G40" s="84"/>
      <c r="H40" s="84"/>
      <c r="I40" s="84"/>
      <c r="J40" s="84"/>
    </row>
    <row r="41" spans="1:13" x14ac:dyDescent="0.2">
      <c r="A41" s="23" t="s">
        <v>552</v>
      </c>
      <c r="B41" s="23" t="s">
        <v>553</v>
      </c>
      <c r="C41" s="23" t="s">
        <v>418</v>
      </c>
      <c r="D41" s="24" t="str">
        <f>"1,0469"</f>
        <v>1,0469</v>
      </c>
      <c r="E41" s="23" t="s">
        <v>405</v>
      </c>
      <c r="F41" s="23" t="s">
        <v>406</v>
      </c>
      <c r="G41" s="25" t="s">
        <v>168</v>
      </c>
      <c r="H41" s="25" t="s">
        <v>109</v>
      </c>
      <c r="I41" s="25" t="s">
        <v>110</v>
      </c>
      <c r="J41" s="26"/>
      <c r="K41" s="27" t="str">
        <f>"125,0"</f>
        <v>125,0</v>
      </c>
      <c r="L41" s="28" t="str">
        <f>"160,9609"</f>
        <v>160,9609</v>
      </c>
      <c r="M41" s="23" t="s">
        <v>407</v>
      </c>
    </row>
    <row r="43" spans="1:13" ht="15" x14ac:dyDescent="0.2">
      <c r="A43" s="83" t="s">
        <v>491</v>
      </c>
      <c r="B43" s="84"/>
      <c r="C43" s="84"/>
      <c r="D43" s="84"/>
      <c r="E43" s="84"/>
      <c r="F43" s="84"/>
      <c r="G43" s="84"/>
      <c r="H43" s="84"/>
      <c r="I43" s="84"/>
      <c r="J43" s="84"/>
    </row>
    <row r="44" spans="1:13" x14ac:dyDescent="0.2">
      <c r="A44" s="11" t="s">
        <v>555</v>
      </c>
      <c r="B44" s="11" t="s">
        <v>556</v>
      </c>
      <c r="C44" s="11" t="s">
        <v>557</v>
      </c>
      <c r="D44" s="12" t="str">
        <f>"1,0186"</f>
        <v>1,0186</v>
      </c>
      <c r="E44" s="11" t="s">
        <v>405</v>
      </c>
      <c r="F44" s="11" t="s">
        <v>406</v>
      </c>
      <c r="G44" s="13" t="s">
        <v>87</v>
      </c>
      <c r="H44" s="13" t="s">
        <v>162</v>
      </c>
      <c r="I44" s="14" t="s">
        <v>89</v>
      </c>
      <c r="J44" s="14"/>
      <c r="K44" s="15" t="str">
        <f>"77,5"</f>
        <v>77,5</v>
      </c>
      <c r="L44" s="16" t="str">
        <f>"97,0980"</f>
        <v>97,0980</v>
      </c>
      <c r="M44" s="11" t="s">
        <v>407</v>
      </c>
    </row>
    <row r="45" spans="1:13" x14ac:dyDescent="0.2">
      <c r="A45" s="39" t="s">
        <v>559</v>
      </c>
      <c r="B45" s="39" t="s">
        <v>560</v>
      </c>
      <c r="C45" s="39" t="s">
        <v>506</v>
      </c>
      <c r="D45" s="40" t="str">
        <f>"0,9966"</f>
        <v>0,9966</v>
      </c>
      <c r="E45" s="39" t="s">
        <v>561</v>
      </c>
      <c r="F45" s="39" t="s">
        <v>562</v>
      </c>
      <c r="G45" s="41" t="s">
        <v>109</v>
      </c>
      <c r="H45" s="41" t="s">
        <v>449</v>
      </c>
      <c r="I45" s="41" t="s">
        <v>110</v>
      </c>
      <c r="J45" s="42"/>
      <c r="K45" s="43" t="str">
        <f>"125,0"</f>
        <v>125,0</v>
      </c>
      <c r="L45" s="44" t="str">
        <f>"146,9985"</f>
        <v>146,9985</v>
      </c>
      <c r="M45" s="39" t="s">
        <v>563</v>
      </c>
    </row>
    <row r="46" spans="1:13" x14ac:dyDescent="0.2">
      <c r="A46" s="17" t="s">
        <v>559</v>
      </c>
      <c r="B46" s="17" t="s">
        <v>564</v>
      </c>
      <c r="C46" s="17" t="s">
        <v>506</v>
      </c>
      <c r="D46" s="18" t="str">
        <f>"0,9966"</f>
        <v>0,9966</v>
      </c>
      <c r="E46" s="17" t="s">
        <v>561</v>
      </c>
      <c r="F46" s="17" t="s">
        <v>562</v>
      </c>
      <c r="G46" s="19" t="s">
        <v>109</v>
      </c>
      <c r="H46" s="19" t="s">
        <v>449</v>
      </c>
      <c r="I46" s="19" t="s">
        <v>110</v>
      </c>
      <c r="J46" s="20"/>
      <c r="K46" s="21" t="str">
        <f>"125,0"</f>
        <v>125,0</v>
      </c>
      <c r="L46" s="22" t="str">
        <f>"124,5750"</f>
        <v>124,5750</v>
      </c>
      <c r="M46" s="17" t="s">
        <v>563</v>
      </c>
    </row>
    <row r="48" spans="1:13" ht="15" x14ac:dyDescent="0.2">
      <c r="A48" s="83" t="s">
        <v>76</v>
      </c>
      <c r="B48" s="84"/>
      <c r="C48" s="84"/>
      <c r="D48" s="84"/>
      <c r="E48" s="84"/>
      <c r="F48" s="84"/>
      <c r="G48" s="84"/>
      <c r="H48" s="84"/>
      <c r="I48" s="84"/>
      <c r="J48" s="84"/>
    </row>
    <row r="49" spans="1:14" x14ac:dyDescent="0.2">
      <c r="A49" s="23" t="s">
        <v>566</v>
      </c>
      <c r="B49" s="23" t="s">
        <v>567</v>
      </c>
      <c r="C49" s="23" t="s">
        <v>568</v>
      </c>
      <c r="D49" s="24" t="str">
        <f>"0,8943"</f>
        <v>0,8943</v>
      </c>
      <c r="E49" s="23" t="s">
        <v>117</v>
      </c>
      <c r="F49" s="23" t="s">
        <v>118</v>
      </c>
      <c r="G49" s="25" t="s">
        <v>83</v>
      </c>
      <c r="H49" s="25" t="s">
        <v>99</v>
      </c>
      <c r="I49" s="26" t="s">
        <v>87</v>
      </c>
      <c r="J49" s="26"/>
      <c r="K49" s="27" t="str">
        <f>"60,0"</f>
        <v>60,0</v>
      </c>
      <c r="L49" s="28" t="str">
        <f>"65,9993"</f>
        <v>65,9993</v>
      </c>
      <c r="M49" s="23" t="s">
        <v>119</v>
      </c>
    </row>
    <row r="51" spans="1:14" ht="15" x14ac:dyDescent="0.2">
      <c r="A51" s="83" t="s">
        <v>112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4" x14ac:dyDescent="0.2">
      <c r="A52" s="11" t="s">
        <v>570</v>
      </c>
      <c r="B52" s="11" t="s">
        <v>571</v>
      </c>
      <c r="C52" s="11" t="s">
        <v>572</v>
      </c>
      <c r="D52" s="12" t="str">
        <f>"0,7450"</f>
        <v>0,7450</v>
      </c>
      <c r="E52" s="11" t="s">
        <v>139</v>
      </c>
      <c r="F52" s="11" t="s">
        <v>140</v>
      </c>
      <c r="G52" s="13" t="s">
        <v>28</v>
      </c>
      <c r="H52" s="13" t="s">
        <v>306</v>
      </c>
      <c r="I52" s="14"/>
      <c r="J52" s="14"/>
      <c r="K52" s="15" t="str">
        <f>"192,5"</f>
        <v>192,5</v>
      </c>
      <c r="L52" s="16" t="str">
        <f>"149,1490"</f>
        <v>149,1490</v>
      </c>
      <c r="M52" s="11" t="s">
        <v>573</v>
      </c>
    </row>
    <row r="53" spans="1:14" x14ac:dyDescent="0.2">
      <c r="A53" s="17" t="s">
        <v>575</v>
      </c>
      <c r="B53" s="17" t="s">
        <v>576</v>
      </c>
      <c r="C53" s="17" t="s">
        <v>577</v>
      </c>
      <c r="D53" s="18" t="str">
        <f>"0,7268"</f>
        <v>0,7268</v>
      </c>
      <c r="E53" s="17" t="s">
        <v>578</v>
      </c>
      <c r="F53" s="17" t="s">
        <v>240</v>
      </c>
      <c r="G53" s="19" t="s">
        <v>306</v>
      </c>
      <c r="H53" s="20" t="s">
        <v>579</v>
      </c>
      <c r="I53" s="20" t="s">
        <v>579</v>
      </c>
      <c r="J53" s="20"/>
      <c r="K53" s="21" t="str">
        <f>"192,5"</f>
        <v>192,5</v>
      </c>
      <c r="L53" s="22" t="str">
        <f>"139,9090"</f>
        <v>139,9090</v>
      </c>
      <c r="M53" s="17" t="s">
        <v>580</v>
      </c>
    </row>
    <row r="55" spans="1:14" ht="15" x14ac:dyDescent="0.2">
      <c r="A55" s="83" t="s">
        <v>121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4" x14ac:dyDescent="0.2">
      <c r="A56" s="11" t="s">
        <v>582</v>
      </c>
      <c r="B56" s="11" t="s">
        <v>583</v>
      </c>
      <c r="C56" s="11" t="s">
        <v>584</v>
      </c>
      <c r="D56" s="12" t="str">
        <f>"0,6797"</f>
        <v>0,6797</v>
      </c>
      <c r="E56" s="11" t="s">
        <v>585</v>
      </c>
      <c r="F56" s="11" t="s">
        <v>562</v>
      </c>
      <c r="G56" s="13" t="s">
        <v>28</v>
      </c>
      <c r="H56" s="13" t="s">
        <v>46</v>
      </c>
      <c r="I56" s="14" t="s">
        <v>586</v>
      </c>
      <c r="J56" s="14"/>
      <c r="K56" s="15" t="str">
        <f>"190,0"</f>
        <v>190,0</v>
      </c>
      <c r="L56" s="16" t="str">
        <f>"129,1430"</f>
        <v>129,1430</v>
      </c>
      <c r="M56" s="11" t="s">
        <v>587</v>
      </c>
    </row>
    <row r="57" spans="1:14" x14ac:dyDescent="0.2">
      <c r="A57" s="17" t="s">
        <v>341</v>
      </c>
      <c r="B57" s="17" t="s">
        <v>342</v>
      </c>
      <c r="C57" s="17" t="s">
        <v>343</v>
      </c>
      <c r="D57" s="18" t="str">
        <f>"0,6673"</f>
        <v>0,6673</v>
      </c>
      <c r="E57" s="17" t="s">
        <v>222</v>
      </c>
      <c r="F57" s="17" t="s">
        <v>195</v>
      </c>
      <c r="G57" s="19" t="s">
        <v>48</v>
      </c>
      <c r="H57" s="19" t="s">
        <v>588</v>
      </c>
      <c r="I57" s="19" t="s">
        <v>56</v>
      </c>
      <c r="J57" s="20"/>
      <c r="K57" s="21" t="str">
        <f>"175,0"</f>
        <v>175,0</v>
      </c>
      <c r="L57" s="22" t="str">
        <f>"116,7775"</f>
        <v>116,7775</v>
      </c>
      <c r="M57" s="17" t="s">
        <v>335</v>
      </c>
    </row>
    <row r="59" spans="1:14" ht="15" x14ac:dyDescent="0.2">
      <c r="A59" s="83" t="s">
        <v>171</v>
      </c>
      <c r="B59" s="84"/>
      <c r="C59" s="84"/>
      <c r="D59" s="84"/>
      <c r="E59" s="84"/>
      <c r="F59" s="84"/>
      <c r="G59" s="84"/>
      <c r="H59" s="84"/>
      <c r="I59" s="84"/>
      <c r="J59" s="84"/>
    </row>
    <row r="60" spans="1:14" x14ac:dyDescent="0.2">
      <c r="A60" s="59" t="s">
        <v>590</v>
      </c>
      <c r="B60" s="59" t="s">
        <v>591</v>
      </c>
      <c r="C60" s="59" t="s">
        <v>347</v>
      </c>
      <c r="D60" s="60" t="str">
        <f>"0,6193"</f>
        <v>0,6193</v>
      </c>
      <c r="E60" s="59" t="s">
        <v>222</v>
      </c>
      <c r="F60" s="59" t="s">
        <v>195</v>
      </c>
      <c r="G60" s="61" t="s">
        <v>111</v>
      </c>
      <c r="H60" s="61" t="s">
        <v>47</v>
      </c>
      <c r="I60" s="61" t="s">
        <v>181</v>
      </c>
      <c r="J60" s="62"/>
      <c r="K60" s="63" t="str">
        <f>"145,0"</f>
        <v>145,0</v>
      </c>
      <c r="L60" s="64" t="str">
        <f>"110,4522"</f>
        <v>110,4522</v>
      </c>
      <c r="M60" s="59" t="s">
        <v>224</v>
      </c>
      <c r="N60" s="3" t="s">
        <v>655</v>
      </c>
    </row>
    <row r="61" spans="1:14" x14ac:dyDescent="0.2">
      <c r="A61" s="39" t="s">
        <v>593</v>
      </c>
      <c r="B61" s="39" t="s">
        <v>594</v>
      </c>
      <c r="C61" s="39" t="s">
        <v>595</v>
      </c>
      <c r="D61" s="40" t="str">
        <f>"0,6224"</f>
        <v>0,6224</v>
      </c>
      <c r="E61" s="39" t="s">
        <v>405</v>
      </c>
      <c r="F61" s="39" t="s">
        <v>406</v>
      </c>
      <c r="G61" s="42" t="s">
        <v>47</v>
      </c>
      <c r="H61" s="41" t="s">
        <v>47</v>
      </c>
      <c r="I61" s="41" t="s">
        <v>550</v>
      </c>
      <c r="J61" s="42"/>
      <c r="K61" s="43" t="str">
        <f>"152,5"</f>
        <v>152,5</v>
      </c>
      <c r="L61" s="44" t="str">
        <f>"112,0009"</f>
        <v>112,0009</v>
      </c>
      <c r="M61" s="39" t="s">
        <v>407</v>
      </c>
    </row>
    <row r="62" spans="1:14" x14ac:dyDescent="0.2">
      <c r="A62" s="39" t="s">
        <v>345</v>
      </c>
      <c r="B62" s="39" t="s">
        <v>346</v>
      </c>
      <c r="C62" s="39" t="s">
        <v>347</v>
      </c>
      <c r="D62" s="40" t="str">
        <f>"0,6193"</f>
        <v>0,6193</v>
      </c>
      <c r="E62" s="39" t="s">
        <v>222</v>
      </c>
      <c r="F62" s="39" t="s">
        <v>195</v>
      </c>
      <c r="G62" s="41" t="s">
        <v>25</v>
      </c>
      <c r="H62" s="41" t="s">
        <v>26</v>
      </c>
      <c r="I62" s="42" t="s">
        <v>596</v>
      </c>
      <c r="J62" s="42"/>
      <c r="K62" s="43" t="str">
        <f>"240,0"</f>
        <v>240,0</v>
      </c>
      <c r="L62" s="44" t="str">
        <f>"148,6320"</f>
        <v>148,6320</v>
      </c>
      <c r="M62" s="39" t="s">
        <v>335</v>
      </c>
    </row>
    <row r="63" spans="1:14" x14ac:dyDescent="0.2">
      <c r="A63" s="39" t="s">
        <v>598</v>
      </c>
      <c r="B63" s="39" t="s">
        <v>599</v>
      </c>
      <c r="C63" s="39" t="s">
        <v>595</v>
      </c>
      <c r="D63" s="40" t="str">
        <f>"0,6224"</f>
        <v>0,6224</v>
      </c>
      <c r="E63" s="39" t="s">
        <v>139</v>
      </c>
      <c r="F63" s="39" t="s">
        <v>140</v>
      </c>
      <c r="G63" s="41" t="s">
        <v>47</v>
      </c>
      <c r="H63" s="41" t="s">
        <v>27</v>
      </c>
      <c r="I63" s="41" t="s">
        <v>28</v>
      </c>
      <c r="J63" s="42"/>
      <c r="K63" s="43" t="str">
        <f>"180,0"</f>
        <v>180,0</v>
      </c>
      <c r="L63" s="44" t="str">
        <f>"112,0320"</f>
        <v>112,0320</v>
      </c>
      <c r="M63" s="39" t="s">
        <v>143</v>
      </c>
    </row>
    <row r="64" spans="1:14" x14ac:dyDescent="0.2">
      <c r="A64" s="39" t="s">
        <v>600</v>
      </c>
      <c r="B64" s="39" t="s">
        <v>446</v>
      </c>
      <c r="C64" s="39" t="s">
        <v>447</v>
      </c>
      <c r="D64" s="40" t="str">
        <f>"0,6203"</f>
        <v>0,6203</v>
      </c>
      <c r="E64" s="39" t="s">
        <v>194</v>
      </c>
      <c r="F64" s="39" t="s">
        <v>240</v>
      </c>
      <c r="G64" s="41" t="s">
        <v>48</v>
      </c>
      <c r="H64" s="41" t="s">
        <v>56</v>
      </c>
      <c r="I64" s="41" t="s">
        <v>28</v>
      </c>
      <c r="J64" s="42"/>
      <c r="K64" s="43" t="str">
        <f>"180,0"</f>
        <v>180,0</v>
      </c>
      <c r="L64" s="44" t="str">
        <f>"111,6540"</f>
        <v>111,6540</v>
      </c>
      <c r="M64" s="39" t="s">
        <v>450</v>
      </c>
    </row>
    <row r="65" spans="1:13" x14ac:dyDescent="0.2">
      <c r="A65" s="17" t="s">
        <v>445</v>
      </c>
      <c r="B65" s="17" t="s">
        <v>451</v>
      </c>
      <c r="C65" s="17" t="s">
        <v>447</v>
      </c>
      <c r="D65" s="18" t="str">
        <f>"0,6203"</f>
        <v>0,6203</v>
      </c>
      <c r="E65" s="17" t="s">
        <v>194</v>
      </c>
      <c r="F65" s="17" t="s">
        <v>240</v>
      </c>
      <c r="G65" s="19" t="s">
        <v>48</v>
      </c>
      <c r="H65" s="19" t="s">
        <v>56</v>
      </c>
      <c r="I65" s="19" t="s">
        <v>28</v>
      </c>
      <c r="J65" s="20"/>
      <c r="K65" s="21" t="str">
        <f>"180,0"</f>
        <v>180,0</v>
      </c>
      <c r="L65" s="22" t="str">
        <f>"117,0134"</f>
        <v>117,0134</v>
      </c>
      <c r="M65" s="17" t="s">
        <v>450</v>
      </c>
    </row>
    <row r="67" spans="1:13" ht="15" x14ac:dyDescent="0.2">
      <c r="A67" s="83" t="s">
        <v>183</v>
      </c>
      <c r="B67" s="84"/>
      <c r="C67" s="84"/>
      <c r="D67" s="84"/>
      <c r="E67" s="84"/>
      <c r="F67" s="84"/>
      <c r="G67" s="84"/>
      <c r="H67" s="84"/>
      <c r="I67" s="84"/>
      <c r="J67" s="84"/>
    </row>
    <row r="68" spans="1:13" x14ac:dyDescent="0.2">
      <c r="A68" s="11" t="s">
        <v>185</v>
      </c>
      <c r="B68" s="11" t="s">
        <v>186</v>
      </c>
      <c r="C68" s="11" t="s">
        <v>187</v>
      </c>
      <c r="D68" s="12" t="str">
        <f>"0,5861"</f>
        <v>0,5861</v>
      </c>
      <c r="E68" s="11" t="s">
        <v>22</v>
      </c>
      <c r="F68" s="11" t="s">
        <v>23</v>
      </c>
      <c r="G68" s="13" t="s">
        <v>188</v>
      </c>
      <c r="H68" s="13" t="s">
        <v>189</v>
      </c>
      <c r="I68" s="14" t="s">
        <v>25</v>
      </c>
      <c r="J68" s="14"/>
      <c r="K68" s="15" t="str">
        <f>"225,0"</f>
        <v>225,0</v>
      </c>
      <c r="L68" s="16" t="str">
        <f>"131,8725"</f>
        <v>131,8725</v>
      </c>
      <c r="M68" s="11" t="s">
        <v>33</v>
      </c>
    </row>
    <row r="69" spans="1:13" x14ac:dyDescent="0.2">
      <c r="A69" s="39" t="s">
        <v>602</v>
      </c>
      <c r="B69" s="39" t="s">
        <v>603</v>
      </c>
      <c r="C69" s="39" t="s">
        <v>604</v>
      </c>
      <c r="D69" s="40" t="str">
        <f>"0,5865"</f>
        <v>0,5865</v>
      </c>
      <c r="E69" s="39" t="s">
        <v>222</v>
      </c>
      <c r="F69" s="39" t="s">
        <v>195</v>
      </c>
      <c r="G69" s="41" t="s">
        <v>44</v>
      </c>
      <c r="H69" s="41" t="s">
        <v>27</v>
      </c>
      <c r="I69" s="41" t="s">
        <v>588</v>
      </c>
      <c r="J69" s="42"/>
      <c r="K69" s="43" t="str">
        <f>"172,5"</f>
        <v>172,5</v>
      </c>
      <c r="L69" s="44" t="str">
        <f>"101,1712"</f>
        <v>101,1712</v>
      </c>
      <c r="M69" s="39" t="s">
        <v>605</v>
      </c>
    </row>
    <row r="70" spans="1:13" x14ac:dyDescent="0.2">
      <c r="A70" s="39" t="s">
        <v>205</v>
      </c>
      <c r="B70" s="39" t="s">
        <v>206</v>
      </c>
      <c r="C70" s="39" t="s">
        <v>207</v>
      </c>
      <c r="D70" s="40" t="str">
        <f>"0,5943"</f>
        <v>0,5943</v>
      </c>
      <c r="E70" s="39" t="s">
        <v>22</v>
      </c>
      <c r="F70" s="39" t="s">
        <v>23</v>
      </c>
      <c r="G70" s="41" t="s">
        <v>196</v>
      </c>
      <c r="H70" s="42" t="s">
        <v>188</v>
      </c>
      <c r="I70" s="42" t="s">
        <v>188</v>
      </c>
      <c r="J70" s="42"/>
      <c r="K70" s="43" t="str">
        <f>"200,0"</f>
        <v>200,0</v>
      </c>
      <c r="L70" s="44" t="str">
        <f>"120,9995"</f>
        <v>120,9995</v>
      </c>
      <c r="M70" s="39" t="s">
        <v>33</v>
      </c>
    </row>
    <row r="71" spans="1:13" x14ac:dyDescent="0.2">
      <c r="A71" s="17" t="s">
        <v>208</v>
      </c>
      <c r="B71" s="17" t="s">
        <v>209</v>
      </c>
      <c r="C71" s="17" t="s">
        <v>203</v>
      </c>
      <c r="D71" s="18" t="str">
        <f>"0,5853"</f>
        <v>0,5853</v>
      </c>
      <c r="E71" s="17" t="s">
        <v>22</v>
      </c>
      <c r="F71" s="17" t="s">
        <v>23</v>
      </c>
      <c r="G71" s="19" t="s">
        <v>188</v>
      </c>
      <c r="H71" s="19" t="s">
        <v>24</v>
      </c>
      <c r="I71" s="19" t="s">
        <v>189</v>
      </c>
      <c r="J71" s="20"/>
      <c r="K71" s="21" t="str">
        <f>"225,0"</f>
        <v>225,0</v>
      </c>
      <c r="L71" s="22" t="str">
        <f>"181,7357"</f>
        <v>181,7357</v>
      </c>
      <c r="M71" s="17" t="s">
        <v>33</v>
      </c>
    </row>
    <row r="73" spans="1:13" ht="15" x14ac:dyDescent="0.2">
      <c r="A73" s="83" t="s">
        <v>17</v>
      </c>
      <c r="B73" s="84"/>
      <c r="C73" s="84"/>
      <c r="D73" s="84"/>
      <c r="E73" s="84"/>
      <c r="F73" s="84"/>
      <c r="G73" s="84"/>
      <c r="H73" s="84"/>
      <c r="I73" s="84"/>
      <c r="J73" s="84"/>
    </row>
    <row r="74" spans="1:13" x14ac:dyDescent="0.2">
      <c r="A74" s="11" t="s">
        <v>215</v>
      </c>
      <c r="B74" s="11" t="s">
        <v>216</v>
      </c>
      <c r="C74" s="11" t="s">
        <v>213</v>
      </c>
      <c r="D74" s="12" t="str">
        <f>"0,5678"</f>
        <v>0,5678</v>
      </c>
      <c r="E74" s="11" t="s">
        <v>117</v>
      </c>
      <c r="F74" s="11" t="s">
        <v>118</v>
      </c>
      <c r="G74" s="13" t="s">
        <v>28</v>
      </c>
      <c r="H74" s="13" t="s">
        <v>196</v>
      </c>
      <c r="I74" s="14"/>
      <c r="J74" s="14"/>
      <c r="K74" s="15" t="str">
        <f>"200,0"</f>
        <v>200,0</v>
      </c>
      <c r="L74" s="16" t="str">
        <f>"120,3736"</f>
        <v>120,3736</v>
      </c>
      <c r="M74" s="11" t="s">
        <v>119</v>
      </c>
    </row>
    <row r="75" spans="1:13" x14ac:dyDescent="0.2">
      <c r="A75" s="17" t="s">
        <v>363</v>
      </c>
      <c r="B75" s="17" t="s">
        <v>364</v>
      </c>
      <c r="C75" s="17" t="s">
        <v>365</v>
      </c>
      <c r="D75" s="18" t="str">
        <f>"0,5639"</f>
        <v>0,5639</v>
      </c>
      <c r="E75" s="17" t="s">
        <v>222</v>
      </c>
      <c r="F75" s="17" t="s">
        <v>195</v>
      </c>
      <c r="G75" s="19" t="s">
        <v>606</v>
      </c>
      <c r="H75" s="19" t="s">
        <v>607</v>
      </c>
      <c r="I75" s="19" t="s">
        <v>608</v>
      </c>
      <c r="J75" s="20"/>
      <c r="K75" s="21" t="str">
        <f>"275,0"</f>
        <v>275,0</v>
      </c>
      <c r="L75" s="22" t="str">
        <f>"155,0725"</f>
        <v>155,0725</v>
      </c>
      <c r="M75" s="17" t="s">
        <v>335</v>
      </c>
    </row>
    <row r="77" spans="1:13" ht="15" x14ac:dyDescent="0.2">
      <c r="A77" s="83" t="s">
        <v>39</v>
      </c>
      <c r="B77" s="84"/>
      <c r="C77" s="84"/>
      <c r="D77" s="84"/>
      <c r="E77" s="84"/>
      <c r="F77" s="84"/>
      <c r="G77" s="84"/>
      <c r="H77" s="84"/>
      <c r="I77" s="84"/>
      <c r="J77" s="84"/>
    </row>
    <row r="78" spans="1:13" x14ac:dyDescent="0.2">
      <c r="A78" s="23" t="s">
        <v>609</v>
      </c>
      <c r="B78" s="23" t="s">
        <v>250</v>
      </c>
      <c r="C78" s="23" t="s">
        <v>244</v>
      </c>
      <c r="D78" s="24" t="str">
        <f>"0,5371"</f>
        <v>0,5371</v>
      </c>
      <c r="E78" s="23" t="s">
        <v>22</v>
      </c>
      <c r="F78" s="23" t="s">
        <v>23</v>
      </c>
      <c r="G78" s="25" t="s">
        <v>196</v>
      </c>
      <c r="H78" s="25" t="s">
        <v>245</v>
      </c>
      <c r="I78" s="25" t="s">
        <v>25</v>
      </c>
      <c r="J78" s="26"/>
      <c r="K78" s="27" t="str">
        <f>"230,0"</f>
        <v>230,0</v>
      </c>
      <c r="L78" s="28" t="str">
        <f>"124,6448"</f>
        <v>124,6448</v>
      </c>
      <c r="M78" s="23" t="s">
        <v>33</v>
      </c>
    </row>
    <row r="80" spans="1:13" ht="15" x14ac:dyDescent="0.2">
      <c r="A80" s="83" t="s">
        <v>50</v>
      </c>
      <c r="B80" s="84"/>
      <c r="C80" s="84"/>
      <c r="D80" s="84"/>
      <c r="E80" s="84"/>
      <c r="F80" s="84"/>
      <c r="G80" s="84"/>
      <c r="H80" s="84"/>
      <c r="I80" s="84"/>
      <c r="J80" s="84"/>
    </row>
    <row r="81" spans="1:14" x14ac:dyDescent="0.2">
      <c r="A81" s="11" t="s">
        <v>252</v>
      </c>
      <c r="B81" s="11" t="s">
        <v>253</v>
      </c>
      <c r="C81" s="11" t="s">
        <v>254</v>
      </c>
      <c r="D81" s="12" t="str">
        <f>"0,5266"</f>
        <v>0,5266</v>
      </c>
      <c r="E81" s="11" t="s">
        <v>117</v>
      </c>
      <c r="F81" s="11" t="s">
        <v>118</v>
      </c>
      <c r="G81" s="13" t="s">
        <v>255</v>
      </c>
      <c r="H81" s="13" t="s">
        <v>256</v>
      </c>
      <c r="I81" s="14"/>
      <c r="J81" s="14"/>
      <c r="K81" s="15" t="str">
        <f>"290,0"</f>
        <v>290,0</v>
      </c>
      <c r="L81" s="16" t="str">
        <f>"152,7140"</f>
        <v>152,7140</v>
      </c>
      <c r="M81" s="11" t="s">
        <v>126</v>
      </c>
    </row>
    <row r="82" spans="1:14" x14ac:dyDescent="0.2">
      <c r="A82" s="39" t="s">
        <v>611</v>
      </c>
      <c r="B82" s="39" t="s">
        <v>612</v>
      </c>
      <c r="C82" s="39" t="s">
        <v>613</v>
      </c>
      <c r="D82" s="40" t="str">
        <f>"0,5347"</f>
        <v>0,5347</v>
      </c>
      <c r="E82" s="39" t="s">
        <v>429</v>
      </c>
      <c r="F82" s="39" t="s">
        <v>430</v>
      </c>
      <c r="G82" s="41" t="s">
        <v>188</v>
      </c>
      <c r="H82" s="41" t="s">
        <v>189</v>
      </c>
      <c r="I82" s="41" t="s">
        <v>614</v>
      </c>
      <c r="J82" s="42"/>
      <c r="K82" s="43" t="str">
        <f>"237,5"</f>
        <v>237,5</v>
      </c>
      <c r="L82" s="44" t="str">
        <f>"126,9912"</f>
        <v>126,9912</v>
      </c>
      <c r="M82" s="39" t="s">
        <v>199</v>
      </c>
    </row>
    <row r="83" spans="1:14" x14ac:dyDescent="0.2">
      <c r="A83" s="52" t="s">
        <v>615</v>
      </c>
      <c r="B83" s="52" t="s">
        <v>616</v>
      </c>
      <c r="C83" s="52" t="s">
        <v>613</v>
      </c>
      <c r="D83" s="53" t="str">
        <f>"0,5347"</f>
        <v>0,5347</v>
      </c>
      <c r="E83" s="52" t="s">
        <v>429</v>
      </c>
      <c r="F83" s="52" t="s">
        <v>430</v>
      </c>
      <c r="G83" s="54" t="s">
        <v>188</v>
      </c>
      <c r="H83" s="54" t="s">
        <v>189</v>
      </c>
      <c r="I83" s="54" t="s">
        <v>614</v>
      </c>
      <c r="J83" s="55"/>
      <c r="K83" s="56" t="str">
        <f>"237,5"</f>
        <v>237,5</v>
      </c>
      <c r="L83" s="57" t="str">
        <f>"222,8696"</f>
        <v>222,8696</v>
      </c>
      <c r="M83" s="52" t="s">
        <v>199</v>
      </c>
      <c r="N83" s="3" t="s">
        <v>655</v>
      </c>
    </row>
    <row r="85" spans="1:14" ht="15" x14ac:dyDescent="0.2">
      <c r="E85" s="29" t="s">
        <v>57</v>
      </c>
    </row>
    <row r="86" spans="1:14" ht="15" x14ac:dyDescent="0.2">
      <c r="E86" s="29" t="s">
        <v>58</v>
      </c>
    </row>
    <row r="87" spans="1:14" ht="15" x14ac:dyDescent="0.2">
      <c r="E87" s="29" t="s">
        <v>59</v>
      </c>
    </row>
    <row r="88" spans="1:14" ht="15" x14ac:dyDescent="0.2">
      <c r="E88" s="29" t="s">
        <v>60</v>
      </c>
    </row>
    <row r="89" spans="1:14" ht="15" x14ac:dyDescent="0.2">
      <c r="E89" s="29" t="s">
        <v>60</v>
      </c>
    </row>
    <row r="90" spans="1:14" ht="15" x14ac:dyDescent="0.2">
      <c r="E90" s="29" t="s">
        <v>61</v>
      </c>
    </row>
    <row r="91" spans="1:14" ht="15" x14ac:dyDescent="0.2">
      <c r="E91" s="29"/>
    </row>
    <row r="93" spans="1:14" ht="18" x14ac:dyDescent="0.25">
      <c r="A93" s="30" t="s">
        <v>62</v>
      </c>
      <c r="B93" s="30"/>
    </row>
    <row r="94" spans="1:14" ht="15" x14ac:dyDescent="0.2">
      <c r="A94" s="31" t="s">
        <v>266</v>
      </c>
      <c r="B94" s="31"/>
    </row>
    <row r="95" spans="1:14" ht="14.25" x14ac:dyDescent="0.2">
      <c r="A95" s="33"/>
      <c r="B95" s="34" t="s">
        <v>64</v>
      </c>
    </row>
    <row r="96" spans="1:14" ht="15" x14ac:dyDescent="0.2">
      <c r="A96" s="35" t="s">
        <v>65</v>
      </c>
      <c r="B96" s="35" t="s">
        <v>66</v>
      </c>
      <c r="C96" s="35" t="s">
        <v>67</v>
      </c>
      <c r="D96" s="36" t="s">
        <v>366</v>
      </c>
      <c r="E96" s="35" t="s">
        <v>69</v>
      </c>
    </row>
    <row r="97" spans="1:5" x14ac:dyDescent="0.2">
      <c r="A97" s="32" t="s">
        <v>92</v>
      </c>
      <c r="B97" s="4" t="s">
        <v>64</v>
      </c>
      <c r="C97" s="4" t="s">
        <v>270</v>
      </c>
      <c r="D97" s="37">
        <v>160</v>
      </c>
      <c r="E97" s="38">
        <v>137.74399757385299</v>
      </c>
    </row>
    <row r="98" spans="1:5" x14ac:dyDescent="0.2">
      <c r="A98" s="32" t="s">
        <v>503</v>
      </c>
      <c r="B98" s="4" t="s">
        <v>64</v>
      </c>
      <c r="C98" s="4" t="s">
        <v>496</v>
      </c>
      <c r="D98" s="37">
        <v>135</v>
      </c>
      <c r="E98" s="38">
        <v>135.10800182819401</v>
      </c>
    </row>
    <row r="99" spans="1:5" x14ac:dyDescent="0.2">
      <c r="A99" s="32" t="s">
        <v>509</v>
      </c>
      <c r="B99" s="4" t="s">
        <v>64</v>
      </c>
      <c r="C99" s="4" t="s">
        <v>273</v>
      </c>
      <c r="D99" s="37">
        <v>107.5</v>
      </c>
      <c r="E99" s="38">
        <v>103.38812187313999</v>
      </c>
    </row>
    <row r="100" spans="1:5" x14ac:dyDescent="0.2">
      <c r="A100" s="32" t="s">
        <v>389</v>
      </c>
      <c r="B100" s="4" t="s">
        <v>64</v>
      </c>
      <c r="C100" s="4" t="s">
        <v>269</v>
      </c>
      <c r="D100" s="37">
        <v>125</v>
      </c>
      <c r="E100" s="38">
        <v>97.900003194809003</v>
      </c>
    </row>
    <row r="101" spans="1:5" x14ac:dyDescent="0.2">
      <c r="A101" s="32" t="s">
        <v>527</v>
      </c>
      <c r="B101" s="4" t="s">
        <v>64</v>
      </c>
      <c r="C101" s="4" t="s">
        <v>269</v>
      </c>
      <c r="D101" s="37">
        <v>120</v>
      </c>
      <c r="E101" s="38">
        <v>94.955999851226807</v>
      </c>
    </row>
    <row r="102" spans="1:5" x14ac:dyDescent="0.2">
      <c r="A102" s="32" t="s">
        <v>396</v>
      </c>
      <c r="B102" s="4" t="s">
        <v>64</v>
      </c>
      <c r="C102" s="4" t="s">
        <v>271</v>
      </c>
      <c r="D102" s="37">
        <v>122.5</v>
      </c>
      <c r="E102" s="38">
        <v>94.533253014087705</v>
      </c>
    </row>
    <row r="103" spans="1:5" x14ac:dyDescent="0.2">
      <c r="A103" s="32" t="s">
        <v>538</v>
      </c>
      <c r="B103" s="4" t="s">
        <v>64</v>
      </c>
      <c r="C103" s="4" t="s">
        <v>271</v>
      </c>
      <c r="D103" s="37">
        <v>115</v>
      </c>
      <c r="E103" s="38">
        <v>86.7847496271133</v>
      </c>
    </row>
    <row r="104" spans="1:5" x14ac:dyDescent="0.2">
      <c r="A104" s="32" t="s">
        <v>531</v>
      </c>
      <c r="B104" s="4" t="s">
        <v>64</v>
      </c>
      <c r="C104" s="4" t="s">
        <v>269</v>
      </c>
      <c r="D104" s="37">
        <v>100</v>
      </c>
      <c r="E104" s="38">
        <v>79.640001058578505</v>
      </c>
    </row>
    <row r="105" spans="1:5" x14ac:dyDescent="0.2">
      <c r="A105" s="32" t="s">
        <v>128</v>
      </c>
      <c r="B105" s="4" t="s">
        <v>64</v>
      </c>
      <c r="C105" s="4" t="s">
        <v>272</v>
      </c>
      <c r="D105" s="37">
        <v>140</v>
      </c>
      <c r="E105" s="38">
        <v>77.636998891830402</v>
      </c>
    </row>
    <row r="106" spans="1:5" x14ac:dyDescent="0.2">
      <c r="A106" s="32" t="s">
        <v>542</v>
      </c>
      <c r="B106" s="4" t="s">
        <v>64</v>
      </c>
      <c r="C106" s="4" t="s">
        <v>271</v>
      </c>
      <c r="D106" s="37">
        <v>100</v>
      </c>
      <c r="E106" s="38">
        <v>76.0749995708466</v>
      </c>
    </row>
    <row r="107" spans="1:5" x14ac:dyDescent="0.2">
      <c r="A107" s="32" t="s">
        <v>514</v>
      </c>
      <c r="B107" s="4" t="s">
        <v>64</v>
      </c>
      <c r="C107" s="4" t="s">
        <v>273</v>
      </c>
      <c r="D107" s="37">
        <v>77.5</v>
      </c>
      <c r="E107" s="38">
        <v>70.780748277902603</v>
      </c>
    </row>
    <row r="108" spans="1:5" x14ac:dyDescent="0.2">
      <c r="A108" s="32" t="s">
        <v>518</v>
      </c>
      <c r="B108" s="4" t="s">
        <v>64</v>
      </c>
      <c r="C108" s="4" t="s">
        <v>273</v>
      </c>
      <c r="D108" s="37">
        <v>75</v>
      </c>
      <c r="E108" s="38">
        <v>69.419999420642895</v>
      </c>
    </row>
    <row r="109" spans="1:5" x14ac:dyDescent="0.2">
      <c r="A109" s="32" t="s">
        <v>522</v>
      </c>
      <c r="B109" s="4" t="s">
        <v>64</v>
      </c>
      <c r="C109" s="4" t="s">
        <v>273</v>
      </c>
      <c r="D109" s="37">
        <v>70</v>
      </c>
      <c r="E109" s="38">
        <v>64.3089985847473</v>
      </c>
    </row>
    <row r="111" spans="1:5" ht="14.25" x14ac:dyDescent="0.2">
      <c r="A111" s="33"/>
      <c r="B111" s="34" t="s">
        <v>73</v>
      </c>
    </row>
    <row r="112" spans="1:5" ht="15" x14ac:dyDescent="0.2">
      <c r="A112" s="35" t="s">
        <v>65</v>
      </c>
      <c r="B112" s="35" t="s">
        <v>66</v>
      </c>
      <c r="C112" s="35" t="s">
        <v>67</v>
      </c>
      <c r="D112" s="36" t="s">
        <v>366</v>
      </c>
      <c r="E112" s="35" t="s">
        <v>69</v>
      </c>
    </row>
    <row r="113" spans="1:5" x14ac:dyDescent="0.2">
      <c r="A113" s="32" t="s">
        <v>102</v>
      </c>
      <c r="B113" s="4" t="s">
        <v>274</v>
      </c>
      <c r="C113" s="4" t="s">
        <v>270</v>
      </c>
      <c r="D113" s="37">
        <v>130</v>
      </c>
      <c r="E113" s="38">
        <v>160.04130718112</v>
      </c>
    </row>
    <row r="114" spans="1:5" x14ac:dyDescent="0.2">
      <c r="A114" s="32" t="s">
        <v>327</v>
      </c>
      <c r="B114" s="4" t="s">
        <v>74</v>
      </c>
      <c r="C114" s="4" t="s">
        <v>270</v>
      </c>
      <c r="D114" s="37">
        <v>135</v>
      </c>
      <c r="E114" s="38">
        <v>118.828851020336</v>
      </c>
    </row>
    <row r="115" spans="1:5" x14ac:dyDescent="0.2">
      <c r="A115" s="32" t="s">
        <v>331</v>
      </c>
      <c r="B115" s="4" t="s">
        <v>74</v>
      </c>
      <c r="C115" s="4" t="s">
        <v>269</v>
      </c>
      <c r="D115" s="37">
        <v>142.5</v>
      </c>
      <c r="E115" s="38">
        <v>104.58005219981101</v>
      </c>
    </row>
    <row r="116" spans="1:5" x14ac:dyDescent="0.2">
      <c r="A116" s="32" t="s">
        <v>527</v>
      </c>
      <c r="B116" s="4" t="s">
        <v>74</v>
      </c>
      <c r="C116" s="4" t="s">
        <v>269</v>
      </c>
      <c r="D116" s="37">
        <v>120</v>
      </c>
      <c r="E116" s="38">
        <v>96.665207848548903</v>
      </c>
    </row>
    <row r="117" spans="1:5" x14ac:dyDescent="0.2">
      <c r="A117" s="32" t="s">
        <v>77</v>
      </c>
      <c r="B117" s="4" t="s">
        <v>275</v>
      </c>
      <c r="C117" s="4" t="s">
        <v>273</v>
      </c>
      <c r="D117" s="37">
        <v>80</v>
      </c>
      <c r="E117" s="38">
        <v>86.532161483764597</v>
      </c>
    </row>
    <row r="118" spans="1:5" x14ac:dyDescent="0.2">
      <c r="A118" s="32" t="s">
        <v>546</v>
      </c>
      <c r="B118" s="4" t="s">
        <v>74</v>
      </c>
      <c r="C118" s="4" t="s">
        <v>272</v>
      </c>
      <c r="D118" s="37">
        <v>145</v>
      </c>
      <c r="E118" s="38">
        <v>84.853363767862305</v>
      </c>
    </row>
    <row r="121" spans="1:5" ht="15" x14ac:dyDescent="0.2">
      <c r="A121" s="31" t="s">
        <v>63</v>
      </c>
      <c r="B121" s="31"/>
    </row>
    <row r="122" spans="1:5" ht="14.25" x14ac:dyDescent="0.2">
      <c r="A122" s="33"/>
      <c r="B122" s="34" t="s">
        <v>276</v>
      </c>
    </row>
    <row r="123" spans="1:5" ht="15" x14ac:dyDescent="0.2">
      <c r="A123" s="35" t="s">
        <v>65</v>
      </c>
      <c r="B123" s="35" t="s">
        <v>66</v>
      </c>
      <c r="C123" s="35" t="s">
        <v>67</v>
      </c>
      <c r="D123" s="36" t="s">
        <v>366</v>
      </c>
      <c r="E123" s="35" t="s">
        <v>69</v>
      </c>
    </row>
    <row r="124" spans="1:5" x14ac:dyDescent="0.2">
      <c r="A124" s="32" t="s">
        <v>551</v>
      </c>
      <c r="B124" s="4" t="s">
        <v>277</v>
      </c>
      <c r="C124" s="4" t="s">
        <v>473</v>
      </c>
      <c r="D124" s="37">
        <v>125</v>
      </c>
      <c r="E124" s="38">
        <v>160.960880219936</v>
      </c>
    </row>
    <row r="125" spans="1:5" x14ac:dyDescent="0.2">
      <c r="A125" s="32" t="s">
        <v>569</v>
      </c>
      <c r="B125" s="4" t="s">
        <v>278</v>
      </c>
      <c r="C125" s="4" t="s">
        <v>269</v>
      </c>
      <c r="D125" s="37">
        <v>192.5</v>
      </c>
      <c r="E125" s="38">
        <v>149.14900095462801</v>
      </c>
    </row>
    <row r="126" spans="1:5" x14ac:dyDescent="0.2">
      <c r="A126" s="32" t="s">
        <v>558</v>
      </c>
      <c r="B126" s="4" t="s">
        <v>277</v>
      </c>
      <c r="C126" s="4" t="s">
        <v>496</v>
      </c>
      <c r="D126" s="37">
        <v>125</v>
      </c>
      <c r="E126" s="38">
        <v>146.99849590659099</v>
      </c>
    </row>
    <row r="127" spans="1:5" x14ac:dyDescent="0.2">
      <c r="A127" s="32" t="s">
        <v>214</v>
      </c>
      <c r="B127" s="4" t="s">
        <v>278</v>
      </c>
      <c r="C127" s="4" t="s">
        <v>70</v>
      </c>
      <c r="D127" s="37">
        <v>200</v>
      </c>
      <c r="E127" s="38">
        <v>120.373596906662</v>
      </c>
    </row>
    <row r="128" spans="1:5" x14ac:dyDescent="0.2">
      <c r="A128" s="32" t="s">
        <v>592</v>
      </c>
      <c r="B128" s="4" t="s">
        <v>277</v>
      </c>
      <c r="C128" s="4" t="s">
        <v>280</v>
      </c>
      <c r="D128" s="37">
        <v>152.5</v>
      </c>
      <c r="E128" s="38">
        <v>112.000877442956</v>
      </c>
    </row>
    <row r="129" spans="1:5" x14ac:dyDescent="0.2">
      <c r="A129" s="32" t="s">
        <v>589</v>
      </c>
      <c r="B129" s="4" t="s">
        <v>268</v>
      </c>
      <c r="C129" s="4" t="s">
        <v>280</v>
      </c>
      <c r="D129" s="37">
        <v>145</v>
      </c>
      <c r="E129" s="38">
        <v>110.45215639472001</v>
      </c>
    </row>
    <row r="130" spans="1:5" x14ac:dyDescent="0.2">
      <c r="A130" s="32" t="s">
        <v>554</v>
      </c>
      <c r="B130" s="4" t="s">
        <v>268</v>
      </c>
      <c r="C130" s="4" t="s">
        <v>496</v>
      </c>
      <c r="D130" s="37">
        <v>77.5</v>
      </c>
      <c r="E130" s="38">
        <v>97.098043763637506</v>
      </c>
    </row>
    <row r="131" spans="1:5" x14ac:dyDescent="0.2">
      <c r="A131" s="32" t="s">
        <v>565</v>
      </c>
      <c r="B131" s="4" t="s">
        <v>268</v>
      </c>
      <c r="C131" s="4" t="s">
        <v>273</v>
      </c>
      <c r="D131" s="37">
        <v>60</v>
      </c>
      <c r="E131" s="38">
        <v>65.999338817596396</v>
      </c>
    </row>
    <row r="133" spans="1:5" ht="14.25" x14ac:dyDescent="0.2">
      <c r="A133" s="33"/>
      <c r="B133" s="34" t="s">
        <v>64</v>
      </c>
    </row>
    <row r="134" spans="1:5" ht="15" x14ac:dyDescent="0.2">
      <c r="A134" s="35" t="s">
        <v>65</v>
      </c>
      <c r="B134" s="35" t="s">
        <v>66</v>
      </c>
      <c r="C134" s="35" t="s">
        <v>67</v>
      </c>
      <c r="D134" s="36" t="s">
        <v>366</v>
      </c>
      <c r="E134" s="35" t="s">
        <v>69</v>
      </c>
    </row>
    <row r="135" spans="1:5" x14ac:dyDescent="0.2">
      <c r="A135" s="32" t="s">
        <v>362</v>
      </c>
      <c r="B135" s="4" t="s">
        <v>64</v>
      </c>
      <c r="C135" s="4" t="s">
        <v>70</v>
      </c>
      <c r="D135" s="37">
        <v>275</v>
      </c>
      <c r="E135" s="38">
        <v>155.072498321533</v>
      </c>
    </row>
    <row r="136" spans="1:5" x14ac:dyDescent="0.2">
      <c r="A136" s="32" t="s">
        <v>251</v>
      </c>
      <c r="B136" s="4" t="s">
        <v>64</v>
      </c>
      <c r="C136" s="4" t="s">
        <v>71</v>
      </c>
      <c r="D136" s="37">
        <v>290</v>
      </c>
      <c r="E136" s="38">
        <v>152.71400094032299</v>
      </c>
    </row>
    <row r="137" spans="1:5" x14ac:dyDescent="0.2">
      <c r="A137" s="32" t="s">
        <v>344</v>
      </c>
      <c r="B137" s="4" t="s">
        <v>64</v>
      </c>
      <c r="C137" s="4" t="s">
        <v>280</v>
      </c>
      <c r="D137" s="37">
        <v>240</v>
      </c>
      <c r="E137" s="38">
        <v>148.632001876831</v>
      </c>
    </row>
    <row r="138" spans="1:5" x14ac:dyDescent="0.2">
      <c r="A138" s="32" t="s">
        <v>574</v>
      </c>
      <c r="B138" s="4" t="s">
        <v>64</v>
      </c>
      <c r="C138" s="4" t="s">
        <v>269</v>
      </c>
      <c r="D138" s="37">
        <v>192.5</v>
      </c>
      <c r="E138" s="38">
        <v>139.90900471806501</v>
      </c>
    </row>
    <row r="139" spans="1:5" x14ac:dyDescent="0.2">
      <c r="A139" s="32" t="s">
        <v>184</v>
      </c>
      <c r="B139" s="4" t="s">
        <v>64</v>
      </c>
      <c r="C139" s="4" t="s">
        <v>284</v>
      </c>
      <c r="D139" s="37">
        <v>225</v>
      </c>
      <c r="E139" s="38">
        <v>131.87249600887299</v>
      </c>
    </row>
    <row r="140" spans="1:5" x14ac:dyDescent="0.2">
      <c r="A140" s="32" t="s">
        <v>581</v>
      </c>
      <c r="B140" s="4" t="s">
        <v>64</v>
      </c>
      <c r="C140" s="4" t="s">
        <v>271</v>
      </c>
      <c r="D140" s="37">
        <v>190</v>
      </c>
      <c r="E140" s="38">
        <v>129.14300322532699</v>
      </c>
    </row>
    <row r="141" spans="1:5" x14ac:dyDescent="0.2">
      <c r="A141" s="32" t="s">
        <v>610</v>
      </c>
      <c r="B141" s="4" t="s">
        <v>64</v>
      </c>
      <c r="C141" s="4" t="s">
        <v>71</v>
      </c>
      <c r="D141" s="37">
        <v>237.5</v>
      </c>
      <c r="E141" s="38">
        <v>126.991244405508</v>
      </c>
    </row>
    <row r="142" spans="1:5" x14ac:dyDescent="0.2">
      <c r="A142" s="32" t="s">
        <v>558</v>
      </c>
      <c r="B142" s="4" t="s">
        <v>64</v>
      </c>
      <c r="C142" s="4" t="s">
        <v>496</v>
      </c>
      <c r="D142" s="37">
        <v>125</v>
      </c>
      <c r="E142" s="38">
        <v>124.57499653101</v>
      </c>
    </row>
    <row r="143" spans="1:5" x14ac:dyDescent="0.2">
      <c r="A143" s="32" t="s">
        <v>340</v>
      </c>
      <c r="B143" s="4" t="s">
        <v>64</v>
      </c>
      <c r="C143" s="4" t="s">
        <v>271</v>
      </c>
      <c r="D143" s="37">
        <v>175</v>
      </c>
      <c r="E143" s="38">
        <v>116.777497529984</v>
      </c>
    </row>
    <row r="144" spans="1:5" x14ac:dyDescent="0.2">
      <c r="A144" s="32" t="s">
        <v>597</v>
      </c>
      <c r="B144" s="4" t="s">
        <v>64</v>
      </c>
      <c r="C144" s="4" t="s">
        <v>280</v>
      </c>
      <c r="D144" s="37">
        <v>180</v>
      </c>
      <c r="E144" s="38">
        <v>112.031997442245</v>
      </c>
    </row>
    <row r="145" spans="1:5" x14ac:dyDescent="0.2">
      <c r="A145" s="32" t="s">
        <v>444</v>
      </c>
      <c r="B145" s="4" t="s">
        <v>64</v>
      </c>
      <c r="C145" s="4" t="s">
        <v>280</v>
      </c>
      <c r="D145" s="37">
        <v>180</v>
      </c>
      <c r="E145" s="38">
        <v>111.653999090195</v>
      </c>
    </row>
    <row r="146" spans="1:5" x14ac:dyDescent="0.2">
      <c r="A146" s="32" t="s">
        <v>601</v>
      </c>
      <c r="B146" s="4" t="s">
        <v>64</v>
      </c>
      <c r="C146" s="4" t="s">
        <v>284</v>
      </c>
      <c r="D146" s="37">
        <v>172.5</v>
      </c>
      <c r="E146" s="38">
        <v>101.171248108149</v>
      </c>
    </row>
    <row r="148" spans="1:5" ht="14.25" x14ac:dyDescent="0.2">
      <c r="A148" s="33"/>
      <c r="B148" s="34" t="s">
        <v>73</v>
      </c>
    </row>
    <row r="149" spans="1:5" ht="15" x14ac:dyDescent="0.2">
      <c r="A149" s="35" t="s">
        <v>65</v>
      </c>
      <c r="B149" s="35" t="s">
        <v>66</v>
      </c>
      <c r="C149" s="35" t="s">
        <v>67</v>
      </c>
      <c r="D149" s="36" t="s">
        <v>366</v>
      </c>
      <c r="E149" s="35" t="s">
        <v>69</v>
      </c>
    </row>
    <row r="150" spans="1:5" x14ac:dyDescent="0.2">
      <c r="A150" s="32" t="s">
        <v>610</v>
      </c>
      <c r="B150" s="4" t="s">
        <v>382</v>
      </c>
      <c r="C150" s="4" t="s">
        <v>71</v>
      </c>
      <c r="D150" s="37">
        <v>237.5</v>
      </c>
      <c r="E150" s="38">
        <v>222.86963393166701</v>
      </c>
    </row>
    <row r="151" spans="1:5" x14ac:dyDescent="0.2">
      <c r="A151" s="32" t="s">
        <v>200</v>
      </c>
      <c r="B151" s="4" t="s">
        <v>274</v>
      </c>
      <c r="C151" s="4" t="s">
        <v>284</v>
      </c>
      <c r="D151" s="37">
        <v>225</v>
      </c>
      <c r="E151" s="38">
        <v>181.73565879464201</v>
      </c>
    </row>
    <row r="152" spans="1:5" x14ac:dyDescent="0.2">
      <c r="A152" s="32" t="s">
        <v>241</v>
      </c>
      <c r="B152" s="4" t="s">
        <v>74</v>
      </c>
      <c r="C152" s="4" t="s">
        <v>72</v>
      </c>
      <c r="D152" s="37">
        <v>230</v>
      </c>
      <c r="E152" s="38">
        <v>124.644800961614</v>
      </c>
    </row>
    <row r="153" spans="1:5" x14ac:dyDescent="0.2">
      <c r="A153" s="32" t="s">
        <v>204</v>
      </c>
      <c r="B153" s="4" t="s">
        <v>74</v>
      </c>
      <c r="C153" s="4" t="s">
        <v>284</v>
      </c>
      <c r="D153" s="37">
        <v>200</v>
      </c>
      <c r="E153" s="38">
        <v>120.999474310875</v>
      </c>
    </row>
    <row r="154" spans="1:5" x14ac:dyDescent="0.2">
      <c r="A154" s="32" t="s">
        <v>444</v>
      </c>
      <c r="B154" s="4" t="s">
        <v>275</v>
      </c>
      <c r="C154" s="4" t="s">
        <v>280</v>
      </c>
      <c r="D154" s="37">
        <v>180</v>
      </c>
      <c r="E154" s="38">
        <v>117.01339104652401</v>
      </c>
    </row>
  </sheetData>
  <mergeCells count="29">
    <mergeCell ref="A59:J59"/>
    <mergeCell ref="A67:J67"/>
    <mergeCell ref="A73:J73"/>
    <mergeCell ref="A77:J77"/>
    <mergeCell ref="A80:J80"/>
    <mergeCell ref="A55:J55"/>
    <mergeCell ref="A8:J8"/>
    <mergeCell ref="A15:J15"/>
    <mergeCell ref="A20:J20"/>
    <mergeCell ref="A25:J25"/>
    <mergeCell ref="A28:J28"/>
    <mergeCell ref="A31:J31"/>
    <mergeCell ref="A36:J36"/>
    <mergeCell ref="A40:J40"/>
    <mergeCell ref="A43:J43"/>
    <mergeCell ref="A48:J48"/>
    <mergeCell ref="A51:J5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L9" sqref="L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8.85546875" style="4" bestFit="1" customWidth="1"/>
    <col min="14" max="14" width="12.42578125" style="3" customWidth="1"/>
    <col min="15" max="16384" width="9.140625" style="3"/>
  </cols>
  <sheetData>
    <row r="1" spans="1:14" s="2" customFormat="1" ht="29.1" customHeight="1" x14ac:dyDescent="0.2">
      <c r="A1" s="82" t="s">
        <v>497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4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4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4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4" ht="15" x14ac:dyDescent="0.2">
      <c r="A5" s="80" t="s">
        <v>112</v>
      </c>
      <c r="B5" s="81"/>
      <c r="C5" s="81"/>
      <c r="D5" s="81"/>
      <c r="E5" s="81"/>
      <c r="F5" s="81"/>
      <c r="G5" s="81"/>
      <c r="H5" s="81"/>
      <c r="I5" s="81"/>
      <c r="J5" s="81"/>
    </row>
    <row r="6" spans="1:14" x14ac:dyDescent="0.2">
      <c r="A6" s="46" t="s">
        <v>499</v>
      </c>
      <c r="B6" s="46" t="s">
        <v>500</v>
      </c>
      <c r="C6" s="46" t="s">
        <v>501</v>
      </c>
      <c r="D6" s="47" t="str">
        <f>"0,7278"</f>
        <v>0,7278</v>
      </c>
      <c r="E6" s="46" t="s">
        <v>441</v>
      </c>
      <c r="F6" s="46" t="s">
        <v>442</v>
      </c>
      <c r="G6" s="48" t="s">
        <v>45</v>
      </c>
      <c r="H6" s="49" t="s">
        <v>45</v>
      </c>
      <c r="I6" s="49" t="s">
        <v>56</v>
      </c>
      <c r="J6" s="48"/>
      <c r="K6" s="50" t="str">
        <f>"175,0"</f>
        <v>175,0</v>
      </c>
      <c r="L6" s="51" t="str">
        <f>"223,5256"</f>
        <v>223,5256</v>
      </c>
      <c r="M6" s="46" t="s">
        <v>199</v>
      </c>
      <c r="N6" s="3" t="s">
        <v>654</v>
      </c>
    </row>
    <row r="8" spans="1:14" ht="15" x14ac:dyDescent="0.2">
      <c r="E8" s="29" t="s">
        <v>57</v>
      </c>
    </row>
    <row r="9" spans="1:14" ht="15" x14ac:dyDescent="0.2">
      <c r="E9" s="29" t="s">
        <v>58</v>
      </c>
    </row>
    <row r="10" spans="1:14" ht="15" x14ac:dyDescent="0.2">
      <c r="E10" s="29" t="s">
        <v>59</v>
      </c>
    </row>
    <row r="11" spans="1:14" ht="15" x14ac:dyDescent="0.2">
      <c r="E11" s="29" t="s">
        <v>60</v>
      </c>
    </row>
    <row r="12" spans="1:14" ht="15" x14ac:dyDescent="0.2">
      <c r="E12" s="29" t="s">
        <v>60</v>
      </c>
    </row>
    <row r="13" spans="1:14" ht="15" x14ac:dyDescent="0.2">
      <c r="E13" s="29" t="s">
        <v>61</v>
      </c>
    </row>
    <row r="14" spans="1:14" ht="15" x14ac:dyDescent="0.2">
      <c r="E14" s="29"/>
    </row>
    <row r="16" spans="1:14" ht="18" x14ac:dyDescent="0.25">
      <c r="A16" s="30" t="s">
        <v>62</v>
      </c>
      <c r="B16" s="30"/>
    </row>
    <row r="17" spans="1:5" ht="15" x14ac:dyDescent="0.2">
      <c r="A17" s="31" t="s">
        <v>63</v>
      </c>
      <c r="B17" s="31"/>
    </row>
    <row r="18" spans="1:5" ht="14.25" x14ac:dyDescent="0.2">
      <c r="A18" s="33"/>
      <c r="B18" s="34" t="s">
        <v>73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69</v>
      </c>
    </row>
    <row r="20" spans="1:5" x14ac:dyDescent="0.2">
      <c r="A20" s="32" t="s">
        <v>498</v>
      </c>
      <c r="B20" s="4" t="s">
        <v>382</v>
      </c>
      <c r="C20" s="4" t="s">
        <v>269</v>
      </c>
      <c r="D20" s="37">
        <v>175</v>
      </c>
      <c r="E20" s="38">
        <v>223.525578573346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11" sqref="N11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17.28515625" style="4" bestFit="1" customWidth="1"/>
    <col min="7" max="9" width="4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12.42578125" style="4" bestFit="1" customWidth="1"/>
    <col min="14" max="16384" width="9.140625" style="3"/>
  </cols>
  <sheetData>
    <row r="1" spans="1:14" s="2" customFormat="1" ht="29.1" customHeight="1" x14ac:dyDescent="0.2">
      <c r="A1" s="82" t="s">
        <v>490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4" s="2" customFormat="1" ht="62.1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4" s="1" customFormat="1" ht="12.75" customHeight="1" x14ac:dyDescent="0.2">
      <c r="A3" s="71" t="s">
        <v>0</v>
      </c>
      <c r="B3" s="73" t="s">
        <v>7</v>
      </c>
      <c r="C3" s="73" t="s">
        <v>11</v>
      </c>
      <c r="D3" s="75" t="s">
        <v>13</v>
      </c>
      <c r="E3" s="77" t="s">
        <v>4</v>
      </c>
      <c r="F3" s="77" t="s">
        <v>8</v>
      </c>
      <c r="G3" s="77" t="s">
        <v>15</v>
      </c>
      <c r="H3" s="77"/>
      <c r="I3" s="77"/>
      <c r="J3" s="77"/>
      <c r="K3" s="75" t="s">
        <v>368</v>
      </c>
      <c r="L3" s="75" t="s">
        <v>3</v>
      </c>
      <c r="M3" s="78" t="s">
        <v>2</v>
      </c>
    </row>
    <row r="4" spans="1:14" s="1" customFormat="1" ht="21" customHeight="1" thickBot="1" x14ac:dyDescent="0.25">
      <c r="A4" s="72"/>
      <c r="B4" s="74"/>
      <c r="C4" s="74"/>
      <c r="D4" s="76"/>
      <c r="E4" s="74"/>
      <c r="F4" s="74"/>
      <c r="G4" s="10">
        <v>1</v>
      </c>
      <c r="H4" s="10">
        <v>2</v>
      </c>
      <c r="I4" s="10">
        <v>3</v>
      </c>
      <c r="J4" s="10" t="s">
        <v>5</v>
      </c>
      <c r="K4" s="76"/>
      <c r="L4" s="76"/>
      <c r="M4" s="79"/>
    </row>
    <row r="5" spans="1:14" ht="15" x14ac:dyDescent="0.2">
      <c r="A5" s="80" t="s">
        <v>491</v>
      </c>
      <c r="B5" s="81"/>
      <c r="C5" s="81"/>
      <c r="D5" s="81"/>
      <c r="E5" s="81"/>
      <c r="F5" s="81"/>
      <c r="G5" s="81"/>
      <c r="H5" s="81"/>
      <c r="I5" s="81"/>
      <c r="J5" s="81"/>
    </row>
    <row r="6" spans="1:14" x14ac:dyDescent="0.2">
      <c r="A6" s="46" t="s">
        <v>493</v>
      </c>
      <c r="B6" s="46" t="s">
        <v>494</v>
      </c>
      <c r="C6" s="46" t="s">
        <v>495</v>
      </c>
      <c r="D6" s="47" t="str">
        <f>"0,9754"</f>
        <v>0,9754</v>
      </c>
      <c r="E6" s="46" t="s">
        <v>194</v>
      </c>
      <c r="F6" s="46" t="s">
        <v>373</v>
      </c>
      <c r="G6" s="49" t="s">
        <v>394</v>
      </c>
      <c r="H6" s="49" t="s">
        <v>162</v>
      </c>
      <c r="I6" s="49" t="s">
        <v>169</v>
      </c>
      <c r="J6" s="49" t="s">
        <v>106</v>
      </c>
      <c r="K6" s="50" t="str">
        <f>"82,5"</f>
        <v>82,5</v>
      </c>
      <c r="L6" s="51" t="str">
        <f>"81,9232"</f>
        <v>81,9232</v>
      </c>
      <c r="M6" s="46" t="s">
        <v>374</v>
      </c>
      <c r="N6" s="3" t="s">
        <v>655</v>
      </c>
    </row>
    <row r="8" spans="1:14" ht="15" x14ac:dyDescent="0.2">
      <c r="E8" s="29" t="s">
        <v>57</v>
      </c>
    </row>
    <row r="9" spans="1:14" ht="15" x14ac:dyDescent="0.2">
      <c r="E9" s="29" t="s">
        <v>58</v>
      </c>
    </row>
    <row r="10" spans="1:14" ht="15" x14ac:dyDescent="0.2">
      <c r="E10" s="29" t="s">
        <v>59</v>
      </c>
    </row>
    <row r="11" spans="1:14" ht="15" x14ac:dyDescent="0.2">
      <c r="E11" s="29" t="s">
        <v>60</v>
      </c>
    </row>
    <row r="12" spans="1:14" ht="15" x14ac:dyDescent="0.2">
      <c r="E12" s="29" t="s">
        <v>60</v>
      </c>
    </row>
    <row r="13" spans="1:14" ht="15" x14ac:dyDescent="0.2">
      <c r="E13" s="29" t="s">
        <v>61</v>
      </c>
    </row>
    <row r="14" spans="1:14" ht="15" x14ac:dyDescent="0.2">
      <c r="E14" s="29"/>
    </row>
    <row r="16" spans="1:14" ht="18" x14ac:dyDescent="0.25">
      <c r="A16" s="30" t="s">
        <v>62</v>
      </c>
      <c r="B16" s="30"/>
    </row>
    <row r="17" spans="1:5" ht="15" x14ac:dyDescent="0.2">
      <c r="A17" s="31" t="s">
        <v>266</v>
      </c>
      <c r="B17" s="31"/>
    </row>
    <row r="18" spans="1:5" ht="14.25" x14ac:dyDescent="0.2">
      <c r="A18" s="33"/>
      <c r="B18" s="34" t="s">
        <v>73</v>
      </c>
    </row>
    <row r="19" spans="1:5" ht="15" x14ac:dyDescent="0.2">
      <c r="A19" s="35" t="s">
        <v>65</v>
      </c>
      <c r="B19" s="35" t="s">
        <v>66</v>
      </c>
      <c r="C19" s="35" t="s">
        <v>67</v>
      </c>
      <c r="D19" s="36" t="s">
        <v>366</v>
      </c>
      <c r="E19" s="35" t="s">
        <v>69</v>
      </c>
    </row>
    <row r="20" spans="1:5" x14ac:dyDescent="0.2">
      <c r="A20" s="32" t="s">
        <v>492</v>
      </c>
      <c r="B20" s="4" t="s">
        <v>74</v>
      </c>
      <c r="C20" s="4" t="s">
        <v>496</v>
      </c>
      <c r="D20" s="37">
        <v>82.5</v>
      </c>
      <c r="E20" s="38">
        <v>81.9231665119529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Лист16</vt:lpstr>
      <vt:lpstr>Двоеборье люб</vt:lpstr>
      <vt:lpstr>ПРО присед б.э.</vt:lpstr>
      <vt:lpstr>Люб. присед б.э.</vt:lpstr>
      <vt:lpstr>Люб. тяга софт экип.</vt:lpstr>
      <vt:lpstr>ПРО тяга б.э.</vt:lpstr>
      <vt:lpstr>Люб. тяга б.э.</vt:lpstr>
      <vt:lpstr>ПРО жим софт мн.петельная</vt:lpstr>
      <vt:lpstr>Люб. жим 1 петельная</vt:lpstr>
      <vt:lpstr>ПРО жим б.э.</vt:lpstr>
      <vt:lpstr>Люб. жим б.э.</vt:lpstr>
      <vt:lpstr>Люб. жим 1.слой</vt:lpstr>
      <vt:lpstr>Люб. жим мн.слой</vt:lpstr>
      <vt:lpstr>Люб. Военный жим класс.</vt:lpstr>
      <vt:lpstr>ПРО ПЛ. б.э.</vt:lpstr>
      <vt:lpstr>Люб. ПЛ. б.э.</vt:lpstr>
      <vt:lpstr>Люб. ПЛ. софт стандарт</vt:lpstr>
      <vt:lpstr>Любители В.Ж. м.повт. 1_2</vt:lpstr>
      <vt:lpstr>Проф. народный жим 1 вес</vt:lpstr>
      <vt:lpstr>Люб. народный жим 1_2 вес</vt:lpstr>
      <vt:lpstr>Пауэрспорт Любители</vt:lpstr>
      <vt:lpstr>Бицепс Любители</vt:lpstr>
      <vt:lpstr>Жим стоя Любители</vt:lpstr>
      <vt:lpstr>Русская тяга проф. 125 кг.</vt:lpstr>
      <vt:lpstr>Русская тяга люб. 100 кг.</vt:lpstr>
      <vt:lpstr>Русская тяга люб. 75 кг.</vt:lpstr>
      <vt:lpstr>Русская тяга люб. 55 кг.</vt:lpstr>
      <vt:lpstr>РБ Проф 50 кг.</vt:lpstr>
      <vt:lpstr>РБ Проф 30 кг.</vt:lpstr>
      <vt:lpstr>РЖ любители 55 кг.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2023-01-11T15:36:43Z</dcterms:modified>
</cp:coreProperties>
</file>