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activeTab="1"/>
  </bookViews>
  <sheets>
    <sheet name="Люб. становая тяга" sheetId="28" r:id="rId1"/>
    <sheet name="Люб. Русская становая тяга 75кг" sheetId="29" r:id="rId2"/>
    <sheet name="Люб. народный жим 1_2 вес" sheetId="27" r:id="rId3"/>
    <sheet name="Люб. народный жим 1 вес" sheetId="26" r:id="rId4"/>
    <sheet name="Бицепс Профессионалы" sheetId="23" r:id="rId5"/>
    <sheet name="Бицепс Любители" sheetId="22" r:id="rId6"/>
    <sheet name="Двоеборье проф." sheetId="20" r:id="rId7"/>
    <sheet name="Люб. ЖД" sheetId="19" r:id="rId8"/>
    <sheet name="Двоеборье люб" sheetId="18" r:id="rId9"/>
    <sheet name="Люб. присед софт экип." sheetId="17" r:id="rId10"/>
    <sheet name="Люб. присед б.э." sheetId="16" r:id="rId11"/>
    <sheet name="ПРО тяга б.э." sheetId="15" r:id="rId12"/>
    <sheet name="Люб. тяга б.э." sheetId="14" r:id="rId13"/>
    <sheet name="ПРО жим софт мн.петельная" sheetId="13" r:id="rId14"/>
    <sheet name="Люб. жим 1 петельная" sheetId="12" r:id="rId15"/>
    <sheet name="ПРО жим б.э." sheetId="11" r:id="rId16"/>
    <sheet name="Люб. жим б.э." sheetId="10" r:id="rId17"/>
    <sheet name="СОВ жим" sheetId="9" r:id="rId18"/>
    <sheet name="Люб. Военный жим класс." sheetId="8" r:id="rId19"/>
    <sheet name="ПРО ПЛ. б.э." sheetId="7" r:id="rId20"/>
    <sheet name="Люб. ПЛ. б.э." sheetId="6" r:id="rId21"/>
  </sheets>
  <calcPr calcId="162913" refMode="R1C1"/>
</workbook>
</file>

<file path=xl/calcChain.xml><?xml version="1.0" encoding="utf-8"?>
<calcChain xmlns="http://schemas.openxmlformats.org/spreadsheetml/2006/main">
  <c r="D6" i="29" l="1"/>
  <c r="D7" i="29"/>
  <c r="J6" i="28" l="1"/>
  <c r="I6" i="28"/>
  <c r="D6" i="28"/>
  <c r="J6" i="27"/>
  <c r="I6" i="27"/>
  <c r="D6" i="27"/>
  <c r="J9" i="26"/>
  <c r="I9" i="26"/>
  <c r="D9" i="26"/>
  <c r="J6" i="26"/>
  <c r="I6" i="26"/>
  <c r="D6" i="26"/>
  <c r="L6" i="23"/>
  <c r="K6" i="23"/>
  <c r="D6" i="23"/>
  <c r="L15" i="22"/>
  <c r="K15" i="22"/>
  <c r="D15" i="22"/>
  <c r="L14" i="22"/>
  <c r="K14" i="22"/>
  <c r="D14" i="22"/>
  <c r="L11" i="22"/>
  <c r="K11" i="22"/>
  <c r="D11" i="22"/>
  <c r="L10" i="22"/>
  <c r="K10" i="22"/>
  <c r="D10" i="22"/>
  <c r="L9" i="22"/>
  <c r="K9" i="22"/>
  <c r="D9" i="22"/>
  <c r="L6" i="22"/>
  <c r="K6" i="22"/>
  <c r="D6" i="22"/>
  <c r="P9" i="20"/>
  <c r="O9" i="20"/>
  <c r="D9" i="20"/>
  <c r="P6" i="20"/>
  <c r="O6" i="20"/>
  <c r="D6" i="20"/>
  <c r="N10" i="19"/>
  <c r="M10" i="19"/>
  <c r="D10" i="19"/>
  <c r="N7" i="19"/>
  <c r="M7" i="19"/>
  <c r="D7" i="19"/>
  <c r="N6" i="19"/>
  <c r="M6" i="19"/>
  <c r="D6" i="19"/>
  <c r="P12" i="18"/>
  <c r="O12" i="18"/>
  <c r="D12" i="18"/>
  <c r="P9" i="18"/>
  <c r="O9" i="18"/>
  <c r="D9" i="18"/>
  <c r="P6" i="18"/>
  <c r="O6" i="18"/>
  <c r="D6" i="18"/>
  <c r="L6" i="17"/>
  <c r="K6" i="17"/>
  <c r="D6" i="17"/>
  <c r="L6" i="16"/>
  <c r="K6" i="16"/>
  <c r="D6" i="16"/>
  <c r="L6" i="15"/>
  <c r="K6" i="15"/>
  <c r="D6" i="15"/>
  <c r="L33" i="14"/>
  <c r="K33" i="14"/>
  <c r="D33" i="14"/>
  <c r="L32" i="14"/>
  <c r="K32" i="14"/>
  <c r="D32" i="14"/>
  <c r="L29" i="14"/>
  <c r="K29" i="14"/>
  <c r="D29" i="14"/>
  <c r="L28" i="14"/>
  <c r="K28" i="14"/>
  <c r="D28" i="14"/>
  <c r="L25" i="14"/>
  <c r="K25" i="14"/>
  <c r="D25" i="14"/>
  <c r="L24" i="14"/>
  <c r="K24" i="14"/>
  <c r="D24" i="14"/>
  <c r="L21" i="14"/>
  <c r="K21" i="14"/>
  <c r="D21" i="14"/>
  <c r="L18" i="14"/>
  <c r="K18" i="14"/>
  <c r="D18" i="14"/>
  <c r="L15" i="14"/>
  <c r="K15" i="14"/>
  <c r="D15" i="14"/>
  <c r="L12" i="14"/>
  <c r="K12" i="14"/>
  <c r="D12" i="14"/>
  <c r="L9" i="14"/>
  <c r="K9" i="14"/>
  <c r="D9" i="14"/>
  <c r="L6" i="14"/>
  <c r="K6" i="14"/>
  <c r="D6" i="14"/>
  <c r="L6" i="13"/>
  <c r="K6" i="13"/>
  <c r="D6" i="13"/>
  <c r="L6" i="12"/>
  <c r="K6" i="12"/>
  <c r="D6" i="12"/>
  <c r="L9" i="11"/>
  <c r="K9" i="11"/>
  <c r="D9" i="11"/>
  <c r="L6" i="11"/>
  <c r="K6" i="11"/>
  <c r="D6" i="11"/>
  <c r="L44" i="10"/>
  <c r="K44" i="10"/>
  <c r="D44" i="10"/>
  <c r="L41" i="10"/>
  <c r="K41" i="10"/>
  <c r="D41" i="10"/>
  <c r="L38" i="10"/>
  <c r="K38" i="10"/>
  <c r="D38" i="10"/>
  <c r="L35" i="10"/>
  <c r="K35" i="10"/>
  <c r="D35" i="10"/>
  <c r="L34" i="10"/>
  <c r="K34" i="10"/>
  <c r="D34" i="10"/>
  <c r="L33" i="10"/>
  <c r="K33" i="10"/>
  <c r="D33" i="10"/>
  <c r="L32" i="10"/>
  <c r="K32" i="10"/>
  <c r="D32" i="10"/>
  <c r="L29" i="10"/>
  <c r="K29" i="10"/>
  <c r="D29" i="10"/>
  <c r="L28" i="10"/>
  <c r="K28" i="10"/>
  <c r="D28" i="10"/>
  <c r="L27" i="10"/>
  <c r="K27" i="10"/>
  <c r="D27" i="10"/>
  <c r="L24" i="10"/>
  <c r="K24" i="10"/>
  <c r="D24" i="10"/>
  <c r="L21" i="10"/>
  <c r="K21" i="10"/>
  <c r="D21" i="10"/>
  <c r="L18" i="10"/>
  <c r="K18" i="10"/>
  <c r="D18" i="10"/>
  <c r="L17" i="10"/>
  <c r="K17" i="10"/>
  <c r="D17" i="10"/>
  <c r="L14" i="10"/>
  <c r="K14" i="10"/>
  <c r="D14" i="10"/>
  <c r="L13" i="10"/>
  <c r="K13" i="10"/>
  <c r="D13" i="10"/>
  <c r="L12" i="10"/>
  <c r="K12" i="10"/>
  <c r="D12" i="10"/>
  <c r="L11" i="10"/>
  <c r="K11" i="10"/>
  <c r="D11" i="10"/>
  <c r="L8" i="10"/>
  <c r="K8" i="10"/>
  <c r="D8" i="10"/>
  <c r="L7" i="10"/>
  <c r="K7" i="10"/>
  <c r="D7" i="10"/>
  <c r="L6" i="10"/>
  <c r="K6" i="10"/>
  <c r="D6" i="10"/>
  <c r="L9" i="9"/>
  <c r="K9" i="9"/>
  <c r="D9" i="9"/>
  <c r="L6" i="9"/>
  <c r="K6" i="9"/>
  <c r="D6" i="9"/>
  <c r="L6" i="8"/>
  <c r="K6" i="8"/>
  <c r="D6" i="8"/>
  <c r="T13" i="7"/>
  <c r="S13" i="7"/>
  <c r="D13" i="7"/>
  <c r="T10" i="7"/>
  <c r="S10" i="7"/>
  <c r="D10" i="7"/>
  <c r="T7" i="7"/>
  <c r="S7" i="7"/>
  <c r="D7" i="7"/>
  <c r="T6" i="7"/>
  <c r="S6" i="7"/>
  <c r="D6" i="7"/>
  <c r="T48" i="6"/>
  <c r="S48" i="6"/>
  <c r="D48" i="6"/>
  <c r="T45" i="6"/>
  <c r="S45" i="6"/>
  <c r="D45" i="6"/>
  <c r="T44" i="6"/>
  <c r="S44" i="6"/>
  <c r="D44" i="6"/>
  <c r="T41" i="6"/>
  <c r="S41" i="6"/>
  <c r="D41" i="6"/>
  <c r="T40" i="6"/>
  <c r="S40" i="6"/>
  <c r="D40" i="6"/>
  <c r="T39" i="6"/>
  <c r="S39" i="6"/>
  <c r="D39" i="6"/>
  <c r="T36" i="6"/>
  <c r="S36" i="6"/>
  <c r="D36" i="6"/>
  <c r="T33" i="6"/>
  <c r="S33" i="6"/>
  <c r="D33" i="6"/>
  <c r="T30" i="6"/>
  <c r="S30" i="6"/>
  <c r="D30" i="6"/>
  <c r="T27" i="6"/>
  <c r="S27" i="6"/>
  <c r="D27" i="6"/>
  <c r="T24" i="6"/>
  <c r="S24" i="6"/>
  <c r="D24" i="6"/>
  <c r="T21" i="6"/>
  <c r="S21" i="6"/>
  <c r="D21" i="6"/>
  <c r="T18" i="6"/>
  <c r="S18" i="6"/>
  <c r="D18" i="6"/>
  <c r="T15" i="6"/>
  <c r="S15" i="6"/>
  <c r="D15" i="6"/>
  <c r="T14" i="6"/>
  <c r="S14" i="6"/>
  <c r="D14" i="6"/>
  <c r="T13" i="6"/>
  <c r="S13" i="6"/>
  <c r="D13" i="6"/>
  <c r="T10" i="6"/>
  <c r="S10" i="6"/>
  <c r="D10" i="6"/>
  <c r="T9" i="6"/>
  <c r="S9" i="6"/>
  <c r="D9" i="6"/>
  <c r="T6" i="6"/>
  <c r="S6" i="6"/>
  <c r="D6" i="6"/>
</calcChain>
</file>

<file path=xl/sharedStrings.xml><?xml version="1.0" encoding="utf-8"?>
<sst xmlns="http://schemas.openxmlformats.org/spreadsheetml/2006/main" count="1997" uniqueCount="461">
  <si>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</si>
  <si>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</si>
  <si>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</si>
  <si>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</si>
  <si>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</si>
  <si>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</si>
  <si>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</si>
  <si>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</si>
  <si>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</si>
  <si>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</si>
  <si>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</si>
  <si>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</si>
  <si>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</si>
  <si>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</si>
  <si>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</si>
  <si>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</si>
  <si>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</si>
  <si>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Открытый Кубок по силовым видам спорта. СТАЛЬНАЯ ВЕСНА.
Любители пауэрлифтинг без экипировки
Курчатов/Курская область 17 - 18 июня 2022 г.</t>
  </si>
  <si>
    <t>Shv/Mel</t>
  </si>
  <si>
    <t>Приседание</t>
  </si>
  <si>
    <t>Жим лёжа</t>
  </si>
  <si>
    <t>Становая тяга</t>
  </si>
  <si>
    <t>ВЕСОВАЯ КАТЕГОРИЯ   52</t>
  </si>
  <si>
    <t>Манохина Элен</t>
  </si>
  <si>
    <t>1. Манохина Элен</t>
  </si>
  <si>
    <t>Открытая (07.11.1996)/25</t>
  </si>
  <si>
    <t>51,25</t>
  </si>
  <si>
    <t xml:space="preserve">SFERA PRO </t>
  </si>
  <si>
    <t xml:space="preserve">Курск/Курская область </t>
  </si>
  <si>
    <t>60,0</t>
  </si>
  <si>
    <t>65,0</t>
  </si>
  <si>
    <t>35,0</t>
  </si>
  <si>
    <t>37,5</t>
  </si>
  <si>
    <t>40,0</t>
  </si>
  <si>
    <t>80,0</t>
  </si>
  <si>
    <t>90,0</t>
  </si>
  <si>
    <t>92,5</t>
  </si>
  <si>
    <t>0,0</t>
  </si>
  <si>
    <t xml:space="preserve">Прыгов Дмитрий Александрович </t>
  </si>
  <si>
    <t>Боховко Юлия</t>
  </si>
  <si>
    <t>-. Боховко Юлия</t>
  </si>
  <si>
    <t>Открытая (07.03.1987)/35</t>
  </si>
  <si>
    <t>51,50</t>
  </si>
  <si>
    <t xml:space="preserve">Сталь Брянск </t>
  </si>
  <si>
    <t xml:space="preserve">Брянск/Брянская область </t>
  </si>
  <si>
    <t>110,0</t>
  </si>
  <si>
    <t>67,5</t>
  </si>
  <si>
    <t>120,0</t>
  </si>
  <si>
    <t>127,5</t>
  </si>
  <si>
    <t xml:space="preserve">Шерман Дмитрий </t>
  </si>
  <si>
    <t>Дятлова Светлана</t>
  </si>
  <si>
    <t>-. Дятлова Светлана</t>
  </si>
  <si>
    <t>Мастера 40 - 44 (09.12.1981)/40</t>
  </si>
  <si>
    <t>51,80</t>
  </si>
  <si>
    <t xml:space="preserve">West Gym </t>
  </si>
  <si>
    <t>45,0</t>
  </si>
  <si>
    <t>50,0</t>
  </si>
  <si>
    <t>55,0</t>
  </si>
  <si>
    <t>97,5</t>
  </si>
  <si>
    <t>105,0</t>
  </si>
  <si>
    <t>112,5</t>
  </si>
  <si>
    <t xml:space="preserve">Локтионова Илия </t>
  </si>
  <si>
    <t>ВЕСОВАЯ КАТЕГОРИЯ   56</t>
  </si>
  <si>
    <t>Власова София</t>
  </si>
  <si>
    <t>1. Власова София</t>
  </si>
  <si>
    <t>Девушки 14-15 (16.05.2008)/14</t>
  </si>
  <si>
    <t>55,10</t>
  </si>
  <si>
    <t>42,5</t>
  </si>
  <si>
    <t>70,0</t>
  </si>
  <si>
    <t>75,0</t>
  </si>
  <si>
    <t xml:space="preserve">Калинина Дарья </t>
  </si>
  <si>
    <t>Овсянникова Елена</t>
  </si>
  <si>
    <t>1. Овсянникова Елена</t>
  </si>
  <si>
    <t>Открытая (28.05.1992)/30</t>
  </si>
  <si>
    <t>85,0</t>
  </si>
  <si>
    <t>95,0</t>
  </si>
  <si>
    <t>100,0</t>
  </si>
  <si>
    <t>Зиновьева Татьяна</t>
  </si>
  <si>
    <t>1. Зиновьева Татьяна</t>
  </si>
  <si>
    <t>Мастера 50 - 54 (24.04.1971)/51</t>
  </si>
  <si>
    <t>55,50</t>
  </si>
  <si>
    <t>ВЕСОВАЯ КАТЕГОРИЯ   60</t>
  </si>
  <si>
    <t>Петрова Татьяна</t>
  </si>
  <si>
    <t>1. Петрова Татьяна</t>
  </si>
  <si>
    <t>Открытая (09.02.1986)/36</t>
  </si>
  <si>
    <t>58,20</t>
  </si>
  <si>
    <t>125,0</t>
  </si>
  <si>
    <t>132,5</t>
  </si>
  <si>
    <t>135,0</t>
  </si>
  <si>
    <t>62,5</t>
  </si>
  <si>
    <t>130,0</t>
  </si>
  <si>
    <t>ВЕСОВАЯ КАТЕГОРИЯ   67.5</t>
  </si>
  <si>
    <t>Васильева Анна</t>
  </si>
  <si>
    <t>1. Васильева Анна</t>
  </si>
  <si>
    <t>Девушки 0-13 (03.10.2008)/13</t>
  </si>
  <si>
    <t>62,10</t>
  </si>
  <si>
    <t xml:space="preserve">Brutal Gym </t>
  </si>
  <si>
    <t>25,0</t>
  </si>
  <si>
    <t>30,0</t>
  </si>
  <si>
    <t xml:space="preserve">Лысенко Максим Андреевич </t>
  </si>
  <si>
    <t>ВЕСОВАЯ КАТЕГОРИЯ   75</t>
  </si>
  <si>
    <t>Скляр Елена</t>
  </si>
  <si>
    <t>1. Скляр Елена</t>
  </si>
  <si>
    <t>Мастера 40 - 44 (10.02.1978)/44</t>
  </si>
  <si>
    <t>70,90</t>
  </si>
  <si>
    <t xml:space="preserve">Курчатов/Курская область </t>
  </si>
  <si>
    <t>72,5</t>
  </si>
  <si>
    <t>107,5</t>
  </si>
  <si>
    <t xml:space="preserve">Меркулов Виталий </t>
  </si>
  <si>
    <t>Максимов Андрей</t>
  </si>
  <si>
    <t>1. Максимов Андрей</t>
  </si>
  <si>
    <t>Открытая (24.10.1991)/30</t>
  </si>
  <si>
    <t>59,90</t>
  </si>
  <si>
    <t xml:space="preserve">Авалон </t>
  </si>
  <si>
    <t>140,0</t>
  </si>
  <si>
    <t>150,0</t>
  </si>
  <si>
    <t>200,0</t>
  </si>
  <si>
    <t>210,0</t>
  </si>
  <si>
    <t xml:space="preserve">Карякин Виталий </t>
  </si>
  <si>
    <t>Чаплыгин Владимир</t>
  </si>
  <si>
    <t>1. Чаплыгин Владимир</t>
  </si>
  <si>
    <t>Юноши 18 - 19 (31.07.2002)/19</t>
  </si>
  <si>
    <t>66,70</t>
  </si>
  <si>
    <t>145,0</t>
  </si>
  <si>
    <t>77,5</t>
  </si>
  <si>
    <t>82,5</t>
  </si>
  <si>
    <t>160,0</t>
  </si>
  <si>
    <t>167,5</t>
  </si>
  <si>
    <t>175,0</t>
  </si>
  <si>
    <t>Зубарев Андрей</t>
  </si>
  <si>
    <t>1. Зубарев Андрей</t>
  </si>
  <si>
    <t>Открытая (06.01.1985)/37</t>
  </si>
  <si>
    <t>74,75</t>
  </si>
  <si>
    <t xml:space="preserve">Сталь Белогорья </t>
  </si>
  <si>
    <t xml:space="preserve">Белгород/Белгородская область </t>
  </si>
  <si>
    <t>185,0</t>
  </si>
  <si>
    <t>195,0</t>
  </si>
  <si>
    <t>190,0</t>
  </si>
  <si>
    <t>205,0</t>
  </si>
  <si>
    <t xml:space="preserve"> </t>
  </si>
  <si>
    <t>ВЕСОВАЯ КАТЕГОРИЯ   82.5</t>
  </si>
  <si>
    <t>Панищев Вадим</t>
  </si>
  <si>
    <t>1. Панищев Вадим</t>
  </si>
  <si>
    <t>Юноши 14-15 (23.01.2007)/15</t>
  </si>
  <si>
    <t>81,85</t>
  </si>
  <si>
    <t>115,0</t>
  </si>
  <si>
    <t>ВЕСОВАЯ КАТЕГОРИЯ   90</t>
  </si>
  <si>
    <t>Шереметов Иван</t>
  </si>
  <si>
    <t>1. Шереметов Иван</t>
  </si>
  <si>
    <t>Открытая (05.07.1995)/26</t>
  </si>
  <si>
    <t>86,65</t>
  </si>
  <si>
    <t>Марков Тимофей</t>
  </si>
  <si>
    <t>1. Марков Тимофей</t>
  </si>
  <si>
    <t>Мастера 40 - 44 (07.03.1982)/40</t>
  </si>
  <si>
    <t>88,10</t>
  </si>
  <si>
    <t>170,0</t>
  </si>
  <si>
    <t>180,0</t>
  </si>
  <si>
    <t>230,0</t>
  </si>
  <si>
    <t>240,0</t>
  </si>
  <si>
    <t>Балухтин Владимир</t>
  </si>
  <si>
    <t>2. Балухтин Владимир</t>
  </si>
  <si>
    <t>Мастера 40 - 44 (03.04.1979)/43</t>
  </si>
  <si>
    <t>89,20</t>
  </si>
  <si>
    <t xml:space="preserve">Планета Спорта </t>
  </si>
  <si>
    <t xml:space="preserve">Казанцев Алексей Владимирович </t>
  </si>
  <si>
    <t>ВЕСОВАЯ КАТЕГОРИЯ   110</t>
  </si>
  <si>
    <t>Коротченко Максим</t>
  </si>
  <si>
    <t>1. Коротченко Максим</t>
  </si>
  <si>
    <t>Открытая (28.12.1986)/35</t>
  </si>
  <si>
    <t>103,15</t>
  </si>
  <si>
    <t>250,0</t>
  </si>
  <si>
    <t>290,0</t>
  </si>
  <si>
    <t>300,0</t>
  </si>
  <si>
    <t>310,0</t>
  </si>
  <si>
    <t>Ермолаев Иван</t>
  </si>
  <si>
    <t>2. Ермолаев Иван</t>
  </si>
  <si>
    <t>Открытая (29.12.1997)/24</t>
  </si>
  <si>
    <t>108,60</t>
  </si>
  <si>
    <t>215,0</t>
  </si>
  <si>
    <t>232,5</t>
  </si>
  <si>
    <t>157,5</t>
  </si>
  <si>
    <t>245,0</t>
  </si>
  <si>
    <t>252,5</t>
  </si>
  <si>
    <t xml:space="preserve">Дородных Владимир </t>
  </si>
  <si>
    <t>ВЕСОВАЯ КАТЕГОРИЯ   140</t>
  </si>
  <si>
    <t>Шамрай Юрий</t>
  </si>
  <si>
    <t>1. Шамрай Юрий</t>
  </si>
  <si>
    <t>Мастера 40 - 44 (24.11.1979)/42</t>
  </si>
  <si>
    <t>133,60</t>
  </si>
  <si>
    <t>225,0</t>
  </si>
  <si>
    <t>235,0</t>
  </si>
  <si>
    <t>172,5</t>
  </si>
  <si>
    <t>260,0</t>
  </si>
  <si>
    <t>272,5</t>
  </si>
  <si>
    <t xml:space="preserve">Коныхов Игорь Венедиктович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</si>
  <si>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</si>
  <si>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</si>
  <si>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</si>
  <si>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</si>
  <si>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</si>
  <si>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</si>
  <si>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</si>
  <si>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14-15 </t>
  </si>
  <si>
    <t>56</t>
  </si>
  <si>
    <t xml:space="preserve">Юноши 0-13 </t>
  </si>
  <si>
    <t>67.5</t>
  </si>
  <si>
    <t xml:space="preserve">Открытая </t>
  </si>
  <si>
    <t>60</t>
  </si>
  <si>
    <t>52</t>
  </si>
  <si>
    <t xml:space="preserve">Мастера </t>
  </si>
  <si>
    <t xml:space="preserve">Мастера 50 - 54 </t>
  </si>
  <si>
    <t xml:space="preserve">Мастера 40 - 44 </t>
  </si>
  <si>
    <t>75</t>
  </si>
  <si>
    <t xml:space="preserve">Мужчины </t>
  </si>
  <si>
    <t xml:space="preserve">Юноши </t>
  </si>
  <si>
    <t xml:space="preserve">Юноши 18 - 19 </t>
  </si>
  <si>
    <t>82.5</t>
  </si>
  <si>
    <t>110</t>
  </si>
  <si>
    <t>90</t>
  </si>
  <si>
    <t>140</t>
  </si>
  <si>
    <t>Открытый Кубок по силовым видам спорта. СТАЛЬНАЯ ВЕСНА.
ПРО пауэрлифтинг без экипировки
Курчатов/Курская область 17 - 18 июня 2022 г.</t>
  </si>
  <si>
    <t>Беглов Юрий</t>
  </si>
  <si>
    <t>1. Беглов Юрий</t>
  </si>
  <si>
    <t>Открытая (06.05.1965)/57</t>
  </si>
  <si>
    <t>81,30</t>
  </si>
  <si>
    <t xml:space="preserve">Воронеж/Воронежская область </t>
  </si>
  <si>
    <t>197,5</t>
  </si>
  <si>
    <t>Мастера 55 - 59 (06.05.1965)/57</t>
  </si>
  <si>
    <t>Немчинов Александр</t>
  </si>
  <si>
    <t>1. Немчинов Александр</t>
  </si>
  <si>
    <t>Мастера 70 - 74 (10.11.1951)/70</t>
  </si>
  <si>
    <t>89,55</t>
  </si>
  <si>
    <t xml:space="preserve">лично </t>
  </si>
  <si>
    <t>220,0</t>
  </si>
  <si>
    <t>Маркелов Юрий</t>
  </si>
  <si>
    <t>1. Маркелов Юрий</t>
  </si>
  <si>
    <t>Открытая (14.08.1982)/39</t>
  </si>
  <si>
    <t>102,75</t>
  </si>
  <si>
    <t>165,0</t>
  </si>
  <si>
    <t>255,0</t>
  </si>
  <si>
    <t xml:space="preserve">Мастера 70 - 74 </t>
  </si>
  <si>
    <t xml:space="preserve">Мастера 55 - 59 </t>
  </si>
  <si>
    <t>Открытый Кубок по силовым видам спорта. СТАЛЬНАЯ ВЕСНА.
Любители военный жим классический
Курчатов/Курская область 17 - 18 июня 2022 г.</t>
  </si>
  <si>
    <t>Платонов Владимир</t>
  </si>
  <si>
    <t>1. Платонов Владимир</t>
  </si>
  <si>
    <t>Открытая (12.09.1984)/37</t>
  </si>
  <si>
    <t>63,75</t>
  </si>
  <si>
    <t xml:space="preserve">Результат </t>
  </si>
  <si>
    <t>Результат</t>
  </si>
  <si>
    <t>Открытый Кубок по силовым видам спорта. СТАЛЬНАЯ ВЕСНА.
СОВ жим лежа
Курчатов/Курская область 17 - 18 июня 2022 г.</t>
  </si>
  <si>
    <t>Ештокин Даниил</t>
  </si>
  <si>
    <t>1. Ештокин Даниил</t>
  </si>
  <si>
    <t>Юноши 18 - 19 (24.02.2003)/19</t>
  </si>
  <si>
    <t>54,25</t>
  </si>
  <si>
    <t>57,5</t>
  </si>
  <si>
    <t xml:space="preserve">Немчинов Александр Михайлович </t>
  </si>
  <si>
    <t>Новиков Денис</t>
  </si>
  <si>
    <t>1. Новиков Денис</t>
  </si>
  <si>
    <t>Открытая (25.09.1997)/24</t>
  </si>
  <si>
    <t>66,65</t>
  </si>
  <si>
    <t xml:space="preserve">Стальное Звено </t>
  </si>
  <si>
    <t>102,5</t>
  </si>
  <si>
    <t>Открытый Кубок по силовым видам спорта. СТАЛЬНАЯ ВЕСНА.
Любители жим лежа без экипировки
Курчатов/Курская область 17 - 18 июня 2022 г.</t>
  </si>
  <si>
    <t>1. Боховко Юлия</t>
  </si>
  <si>
    <t>Мищенко Ирина</t>
  </si>
  <si>
    <t>2. Мищенко Ирина</t>
  </si>
  <si>
    <t>Открытая (28.09.1992)/29</t>
  </si>
  <si>
    <t>51,95</t>
  </si>
  <si>
    <t>52,5</t>
  </si>
  <si>
    <t xml:space="preserve">Поляков Руслан </t>
  </si>
  <si>
    <t>1. Дятлова Светлана</t>
  </si>
  <si>
    <t>Калинина Дарья</t>
  </si>
  <si>
    <t>1. Калинина Дарья</t>
  </si>
  <si>
    <t>Открытая (29.05.1992)/30</t>
  </si>
  <si>
    <t>55,45</t>
  </si>
  <si>
    <t>Озерова Виктория</t>
  </si>
  <si>
    <t>2. Озерова Виктория</t>
  </si>
  <si>
    <t>Открытая (20.10.1995)/26</t>
  </si>
  <si>
    <t>55,20</t>
  </si>
  <si>
    <t>Фомина Мария</t>
  </si>
  <si>
    <t>3. Фомина Мария</t>
  </si>
  <si>
    <t>Открытая (19.03.1991)/31</t>
  </si>
  <si>
    <t>53,50</t>
  </si>
  <si>
    <t>Гнида Оксана</t>
  </si>
  <si>
    <t>1. Гнида Оксана</t>
  </si>
  <si>
    <t>Открытая (27.04.1988)/34</t>
  </si>
  <si>
    <t>69,45</t>
  </si>
  <si>
    <t>Соловьянова Галина</t>
  </si>
  <si>
    <t>1. Соловьянова Галина</t>
  </si>
  <si>
    <t>Мастера 45 - 49 (14.08.1975)/46</t>
  </si>
  <si>
    <t>73,45</t>
  </si>
  <si>
    <t>Хабаров Михаил</t>
  </si>
  <si>
    <t>1. Хабаров Михаил</t>
  </si>
  <si>
    <t>Открытая (04.11.1994)/27</t>
  </si>
  <si>
    <t>67,50</t>
  </si>
  <si>
    <t xml:space="preserve">Бутурлиновка/Воронежская область </t>
  </si>
  <si>
    <t>Антонов Александр</t>
  </si>
  <si>
    <t>1. Антонов Александр</t>
  </si>
  <si>
    <t>Открытая (06.01.1988)/34</t>
  </si>
  <si>
    <t>81,95</t>
  </si>
  <si>
    <t>147,5</t>
  </si>
  <si>
    <t>Туркин Андрей</t>
  </si>
  <si>
    <t>2. Туркин Андрей</t>
  </si>
  <si>
    <t>Открытая (04.07.1992)/29</t>
  </si>
  <si>
    <t>81,65</t>
  </si>
  <si>
    <t>122,5</t>
  </si>
  <si>
    <t>Машковский Юрий</t>
  </si>
  <si>
    <t>3. Машковский Юрий</t>
  </si>
  <si>
    <t>Открытая (11.01.1987)/35</t>
  </si>
  <si>
    <t>81,45</t>
  </si>
  <si>
    <t>Кошлаков Кирилл</t>
  </si>
  <si>
    <t>1. Кошлаков Кирилл</t>
  </si>
  <si>
    <t>Юниоры 20 - 23 (03.09.1999)/22</t>
  </si>
  <si>
    <t>88,00</t>
  </si>
  <si>
    <t>155,0</t>
  </si>
  <si>
    <t>27,0</t>
  </si>
  <si>
    <t>Иванов Алексей</t>
  </si>
  <si>
    <t>1. Иванов Алексей</t>
  </si>
  <si>
    <t>Открытая (06.04.1989)/33</t>
  </si>
  <si>
    <t>89,10</t>
  </si>
  <si>
    <t>Разуваев Роман</t>
  </si>
  <si>
    <t>2. Разуваев Роман</t>
  </si>
  <si>
    <t>Открытая (15.02.1975)/47</t>
  </si>
  <si>
    <t>88,60</t>
  </si>
  <si>
    <t xml:space="preserve">Губкин/Белгородская область </t>
  </si>
  <si>
    <t>142,5</t>
  </si>
  <si>
    <t>152,5</t>
  </si>
  <si>
    <t>1. Балухтин Владимир</t>
  </si>
  <si>
    <t>ВЕСОВАЯ КАТЕГОРИЯ   100</t>
  </si>
  <si>
    <t>Дурнов Дмитрий</t>
  </si>
  <si>
    <t>1. Дурнов Дмитрий</t>
  </si>
  <si>
    <t>Открытая (01.09.1985)/36</t>
  </si>
  <si>
    <t>99,55</t>
  </si>
  <si>
    <t>ВЕСОВАЯ КАТЕГОРИЯ   125</t>
  </si>
  <si>
    <t>Тимохин Евгений</t>
  </si>
  <si>
    <t>1. Тимохин Евгений</t>
  </si>
  <si>
    <t>Открытая (05.08.1987)/34</t>
  </si>
  <si>
    <t>117,50</t>
  </si>
  <si>
    <t xml:space="preserve">Мастера 45 - 49 </t>
  </si>
  <si>
    <t xml:space="preserve">Юниоры </t>
  </si>
  <si>
    <t xml:space="preserve">Юниоры 20 - 23 </t>
  </si>
  <si>
    <t>100</t>
  </si>
  <si>
    <t>125</t>
  </si>
  <si>
    <t>Открытый Кубок по силовым видам спорта. СТАЛЬНАЯ ВЕСНА.
ПРО жим лежа без экипировки
Курчатов/Курская область 17 - 18 июня 2022 г.</t>
  </si>
  <si>
    <t>Трофимов Дмитрий</t>
  </si>
  <si>
    <t>1. Трофимов Дмитрий</t>
  </si>
  <si>
    <t>Мастера 45 - 49 (18.02.1974)/48</t>
  </si>
  <si>
    <t>94,30</t>
  </si>
  <si>
    <t xml:space="preserve">Головин Алексей Николаевич </t>
  </si>
  <si>
    <t>Елисеев Андрей</t>
  </si>
  <si>
    <t>1. Елисеев Андрей</t>
  </si>
  <si>
    <t>Мастера 45 - 49 (28.09.1976)/45</t>
  </si>
  <si>
    <t>109,35</t>
  </si>
  <si>
    <t>Открытый Кубок по силовым видам спорта. СТАЛЬНАЯ ВЕСНА.
Любители жим лежа в Софт экипировка однопетельная
Курчатов/Курская область 17 - 18 июня 2022 г.</t>
  </si>
  <si>
    <t>Гнутов Евгений</t>
  </si>
  <si>
    <t>1. Гнутов Евгений</t>
  </si>
  <si>
    <t>Открытая (22.08.1989)/32</t>
  </si>
  <si>
    <t>72,85</t>
  </si>
  <si>
    <t>162,5</t>
  </si>
  <si>
    <t>Открытый Кубок по силовым видам спорта. СТАЛЬНАЯ ВЕСНА.
ПРО жим лежа в Софт экипировка многопетельная
Курчатов/Курская область 17 - 18 июня 2022 г.</t>
  </si>
  <si>
    <t>Белохонов Сергей</t>
  </si>
  <si>
    <t>1. Белохонов Сергей</t>
  </si>
  <si>
    <t>Открытая (31.05.1991)/31</t>
  </si>
  <si>
    <t>94,60</t>
  </si>
  <si>
    <t>330,0</t>
  </si>
  <si>
    <t>Открытый Кубок по силовым видам спорта. СТАЛЬНАЯ ВЕСНА.
Любители становая тяга без экипировки
Курчатов/Курская область 17 - 18 июня 2022 г.</t>
  </si>
  <si>
    <t>Савченко Екатерина</t>
  </si>
  <si>
    <t>1. Савченко Екатерина</t>
  </si>
  <si>
    <t>Открытая (06.08.1983)/38</t>
  </si>
  <si>
    <t>74,10</t>
  </si>
  <si>
    <t>137,5</t>
  </si>
  <si>
    <t>Семенихин Станислав</t>
  </si>
  <si>
    <t>1. Семенихин Станислав</t>
  </si>
  <si>
    <t>Юноши 16 - 17 (01.12.2004)/17</t>
  </si>
  <si>
    <t>59,00</t>
  </si>
  <si>
    <t>Алферов Алексей</t>
  </si>
  <si>
    <t>1. Алферов Алексей</t>
  </si>
  <si>
    <t>Открытая (10.11.1986)/35</t>
  </si>
  <si>
    <t>74,80</t>
  </si>
  <si>
    <t>Умеренков Денис</t>
  </si>
  <si>
    <t>1. Умеренков Денис</t>
  </si>
  <si>
    <t>Мастера 40 - 44 (27.11.1981)/40</t>
  </si>
  <si>
    <t>74,95</t>
  </si>
  <si>
    <t xml:space="preserve">Юноши 16 - 17 </t>
  </si>
  <si>
    <t>Открытый Кубок по силовым видам спорта. СТАЛЬНАЯ ВЕСНА.
ПРО становая тяга без экипировки
Курчатов/Курская область 17 - 18 июня 2022 г.</t>
  </si>
  <si>
    <t>Чепегин Дмитрий</t>
  </si>
  <si>
    <t>1. Чепегин Дмитрий</t>
  </si>
  <si>
    <t>Юноши 16 - 17 (05.10.2004)/17</t>
  </si>
  <si>
    <t>97,30</t>
  </si>
  <si>
    <t>Открытый Кубок по силовым видам спорта. СТАЛЬНАЯ ВЕСНА.
Любители присед без экипировки
Курчатов/Курская область 17 - 18 июня 2022 г.</t>
  </si>
  <si>
    <t>Открытый Кубок по силовым видам спорта. СТАЛЬНАЯ ВЕСНА.
Любители присед в софт экипировке
Курчатов/Курская область 17 - 18 июня 2022 г.</t>
  </si>
  <si>
    <t>Волохо Андрей</t>
  </si>
  <si>
    <t>1. Волохо Андрей</t>
  </si>
  <si>
    <t>Мастера 45 - 49 (26.07.1975)/46</t>
  </si>
  <si>
    <t>99,40</t>
  </si>
  <si>
    <t>Открытый Кубок по силовым видам спорта. СТАЛЬНАЯ ВЕСНА.
Силовое двоеборье любители
Курчатов/Курская область 17 - 18 июня 2022 г.</t>
  </si>
  <si>
    <t>Гостева Валентина</t>
  </si>
  <si>
    <t>1. Гостева Валентина</t>
  </si>
  <si>
    <t>Мастера 65 - 69 (07.08.1955)/66</t>
  </si>
  <si>
    <t>51,70</t>
  </si>
  <si>
    <t>1. Разуваев Роман</t>
  </si>
  <si>
    <t>Мастера 45 - 49 (15.02.1975)/47</t>
  </si>
  <si>
    <t xml:space="preserve">Мастера 65 - 69 </t>
  </si>
  <si>
    <t>Открытый Кубок по силовым видам спорта. СТАЛЬНАЯ ВЕСНА.
Любители жимовое двоеборье
Курчатов/Курская область 17 - 18 июня 2022 г.</t>
  </si>
  <si>
    <t>Мн.повт. жим</t>
  </si>
  <si>
    <t>Петров Игорь</t>
  </si>
  <si>
    <t>1. Петров Игорь</t>
  </si>
  <si>
    <t>Открытая (30.03.1988)/34</t>
  </si>
  <si>
    <t>80,20</t>
  </si>
  <si>
    <t>26,0</t>
  </si>
  <si>
    <t>Шерман Дмитрий</t>
  </si>
  <si>
    <t>1. Шерман Дмитрий</t>
  </si>
  <si>
    <t>Мастера 55 - 59 (28.05.1964)/58</t>
  </si>
  <si>
    <t>81,70</t>
  </si>
  <si>
    <t>23,0</t>
  </si>
  <si>
    <t>Shv/Mel /Залуцкий</t>
  </si>
  <si>
    <t>Shv/Mel/Залуцкий</t>
  </si>
  <si>
    <t>Открытый Кубок по силовым видам спорта. СТАЛЬНАЯ ВЕСНА.
Силовое двоеборье профессионалы
Курчатов/Курская область 17 - 18 июня 2022 г.</t>
  </si>
  <si>
    <t>Открытый Кубок по силовым видам спорта. СТАЛЬНАЯ ВЕСНА.
Одиночный подъём штанги на бицепс Любители
Курчатов/Курская область 17 - 18 июня 2022 г.</t>
  </si>
  <si>
    <t>Подъем на бицепс</t>
  </si>
  <si>
    <t>2. Алферов Алексей</t>
  </si>
  <si>
    <t>47,5</t>
  </si>
  <si>
    <t>Коваленко Роман</t>
  </si>
  <si>
    <t>3. Коваленко Роман</t>
  </si>
  <si>
    <t>Открытая (28.11.1997)/24</t>
  </si>
  <si>
    <t>74,20</t>
  </si>
  <si>
    <t>Лукьянчиков Владимир</t>
  </si>
  <si>
    <t>1. Лукьянчиков Владимир</t>
  </si>
  <si>
    <t>Мастера 60 - 64 (23.12.1959)/62</t>
  </si>
  <si>
    <t>80,45</t>
  </si>
  <si>
    <t xml:space="preserve">Мастера 60 - 64 </t>
  </si>
  <si>
    <t>Открытый Кубок по силовым видам спорта. СТАЛЬНАЯ ВЕСНА.
Одиночный подъём штанги на бицепс Профессионалы
Курчатов/Курская область 17 - 18 июня 2022 г.</t>
  </si>
  <si>
    <t>Рушковский Виталий</t>
  </si>
  <si>
    <t>1. Рушковский Виталий</t>
  </si>
  <si>
    <t>Открытая (03.08.1994)/27</t>
  </si>
  <si>
    <t>97,20</t>
  </si>
  <si>
    <t xml:space="preserve">Орёл/Орловская область </t>
  </si>
  <si>
    <t>Открытый Кубок по силовым видам спорта. СТАЛЬНАЯ ВЕСНА.
Любители народный жим (1 вес)
Курчатов/Курская область 17 - 18 июня 2022 г.</t>
  </si>
  <si>
    <t>НАП Н.Ж.</t>
  </si>
  <si>
    <t>Народный жим</t>
  </si>
  <si>
    <t>63,80</t>
  </si>
  <si>
    <t>20,0</t>
  </si>
  <si>
    <t>21,0</t>
  </si>
  <si>
    <t xml:space="preserve">НАП Н.Ж. </t>
  </si>
  <si>
    <t>Открытый Кубок по силовым видам спорта. СТАЛЬНАЯ ВЕСНА.
Любители народный жим (1/2 вес)
Курчатов/Курская область 17 - 18 июня 2022 г.</t>
  </si>
  <si>
    <t>27,5</t>
  </si>
  <si>
    <t>47,0</t>
  </si>
  <si>
    <t>Открытый Кубок по силовым видам спорта. СТАЛЬНАЯ ВЕСНА.
Любители народная становая тяга
Курчатов/Курская область 17 - 18 июня 2022 г.</t>
  </si>
  <si>
    <t>Народная становая</t>
  </si>
  <si>
    <t>16,0</t>
  </si>
  <si>
    <t>Рекорд региона (Курская обл.)</t>
  </si>
  <si>
    <t>Национальный рекорд (Россия)</t>
  </si>
  <si>
    <t>Русская становая</t>
  </si>
  <si>
    <t>ВЕСОВАЯ КАТЕГОРИЯ   All</t>
  </si>
  <si>
    <t>Тоннаж</t>
  </si>
  <si>
    <t>Лысенко Максим</t>
  </si>
  <si>
    <t>Атлетизм</t>
  </si>
  <si>
    <t>Локтионова Илия</t>
  </si>
  <si>
    <t>Женщины</t>
  </si>
  <si>
    <t>All</t>
  </si>
  <si>
    <t>Открытая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</si>
</sst>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left"/>
    </xf>
    <xf numFmtId="49" fontId="0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left"/>
    </xf>
    <xf numFmtId="49" fontId="0" fillId="2" borderId="13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horizontal="center"/>
    </xf>
    <xf numFmtId="49" fontId="0" fillId="4" borderId="8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left"/>
    </xf>
    <xf numFmtId="49" fontId="0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left"/>
    </xf>
    <xf numFmtId="49" fontId="0" fillId="2" borderId="8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left"/>
    </xf>
    <xf numFmtId="0" fontId="1" fillId="4" borderId="8" xfId="0" applyNumberFormat="1" applyFont="1" applyFill="1" applyBorder="1" applyAlignment="1">
      <alignment horizontal="left"/>
    </xf>
    <xf numFmtId="49" fontId="0" fillId="3" borderId="12" xfId="0" applyNumberFormat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30" sqref="B3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7" width="5.5703125" style="3" customWidth="1"/>
    <col min="8" max="8" width="10.42578125" style="3" customWidth="1"/>
    <col min="9" max="9" width="7.85546875" style="6" bestFit="1" customWidth="1"/>
    <col min="10" max="10" width="9.5703125" style="7" bestFit="1" customWidth="1"/>
    <col min="11" max="11" width="16.42578125" style="4" bestFit="1" customWidth="1"/>
    <col min="12" max="16384" width="9.140625" style="3"/>
  </cols>
  <sheetData>
    <row r="1" spans="1:12" s="2" customFormat="1" ht="29.1" customHeight="1" x14ac:dyDescent="0.2">
      <c r="A1" s="62" t="s">
        <v>447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2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2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438</v>
      </c>
      <c r="E3" s="74" t="s">
        <v>4</v>
      </c>
      <c r="F3" s="74" t="s">
        <v>7</v>
      </c>
      <c r="G3" s="74" t="s">
        <v>448</v>
      </c>
      <c r="H3" s="74"/>
      <c r="I3" s="72" t="s">
        <v>248</v>
      </c>
      <c r="J3" s="72" t="s">
        <v>3</v>
      </c>
      <c r="K3" s="75" t="s">
        <v>2</v>
      </c>
    </row>
    <row r="4" spans="1:12" s="1" customFormat="1" ht="21" customHeight="1" thickBot="1" x14ac:dyDescent="0.25">
      <c r="A4" s="69"/>
      <c r="B4" s="71"/>
      <c r="C4" s="71"/>
      <c r="D4" s="73"/>
      <c r="E4" s="71"/>
      <c r="F4" s="71"/>
      <c r="G4" s="8" t="s">
        <v>8</v>
      </c>
      <c r="H4" s="8" t="s">
        <v>9</v>
      </c>
      <c r="I4" s="73"/>
      <c r="J4" s="73"/>
      <c r="K4" s="76"/>
    </row>
    <row r="5" spans="1:12" ht="15" x14ac:dyDescent="0.2">
      <c r="A5" s="60" t="s">
        <v>140</v>
      </c>
      <c r="B5" s="61"/>
      <c r="C5" s="61"/>
      <c r="D5" s="61"/>
      <c r="E5" s="61"/>
      <c r="F5" s="61"/>
      <c r="G5" s="61"/>
      <c r="H5" s="61"/>
    </row>
    <row r="6" spans="1:12" x14ac:dyDescent="0.2">
      <c r="A6" s="11" t="s">
        <v>427</v>
      </c>
      <c r="B6" s="11" t="s">
        <v>428</v>
      </c>
      <c r="C6" s="11" t="s">
        <v>429</v>
      </c>
      <c r="D6" s="12" t="str">
        <f>"0,7756"</f>
        <v>0,7756</v>
      </c>
      <c r="E6" s="11" t="s">
        <v>43</v>
      </c>
      <c r="F6" s="11" t="s">
        <v>44</v>
      </c>
      <c r="G6" s="13" t="s">
        <v>305</v>
      </c>
      <c r="H6" s="44" t="s">
        <v>449</v>
      </c>
      <c r="I6" s="15" t="str">
        <f>"1960,0"</f>
        <v>1960,0</v>
      </c>
      <c r="J6" s="16" t="str">
        <f>"1520,1760"</f>
        <v>1520,1760</v>
      </c>
      <c r="K6" s="11" t="s">
        <v>49</v>
      </c>
      <c r="L6" s="3" t="s">
        <v>450</v>
      </c>
    </row>
    <row r="8" spans="1:12" ht="15" x14ac:dyDescent="0.2">
      <c r="E8" s="9" t="s">
        <v>11</v>
      </c>
    </row>
    <row r="9" spans="1:12" ht="15" x14ac:dyDescent="0.2">
      <c r="E9" s="9" t="s">
        <v>12</v>
      </c>
    </row>
    <row r="10" spans="1:12" ht="15" x14ac:dyDescent="0.2">
      <c r="E10" s="9" t="s">
        <v>13</v>
      </c>
    </row>
    <row r="11" spans="1:12" ht="15" x14ac:dyDescent="0.2">
      <c r="E11" s="9" t="s">
        <v>14</v>
      </c>
    </row>
    <row r="12" spans="1:12" ht="15" x14ac:dyDescent="0.2">
      <c r="E12" s="9" t="s">
        <v>14</v>
      </c>
    </row>
    <row r="13" spans="1:12" ht="15" x14ac:dyDescent="0.2">
      <c r="E13" s="9" t="s">
        <v>15</v>
      </c>
    </row>
    <row r="14" spans="1:12" ht="15" x14ac:dyDescent="0.2">
      <c r="E14" s="9"/>
    </row>
    <row r="16" spans="1:12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209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443</v>
      </c>
    </row>
    <row r="20" spans="1:5" x14ac:dyDescent="0.2">
      <c r="A20" s="36" t="s">
        <v>426</v>
      </c>
      <c r="B20" s="4" t="s">
        <v>430</v>
      </c>
      <c r="C20" s="4" t="s">
        <v>216</v>
      </c>
      <c r="D20" s="41">
        <v>1960</v>
      </c>
      <c r="E20" s="42">
        <v>1520.1760315895101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B1" workbookViewId="0">
      <selection activeCell="M38" sqref="M3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6" bestFit="1" customWidth="1"/>
    <col min="12" max="12" width="8.5703125" style="7" bestFit="1" customWidth="1"/>
    <col min="13" max="13" width="16.42578125" style="4" bestFit="1" customWidth="1"/>
    <col min="14" max="16384" width="9.140625" style="3"/>
  </cols>
  <sheetData>
    <row r="1" spans="1:14" s="2" customFormat="1" ht="29.1" customHeight="1" x14ac:dyDescent="0.2">
      <c r="A1" s="62" t="s">
        <v>390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19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392</v>
      </c>
      <c r="B6" s="11" t="s">
        <v>393</v>
      </c>
      <c r="C6" s="11" t="s">
        <v>394</v>
      </c>
      <c r="D6" s="12" t="str">
        <f>"0,5555"</f>
        <v>0,5555</v>
      </c>
      <c r="E6" s="11" t="s">
        <v>43</v>
      </c>
      <c r="F6" s="11" t="s">
        <v>44</v>
      </c>
      <c r="G6" s="44" t="s">
        <v>155</v>
      </c>
      <c r="H6" s="14" t="s">
        <v>156</v>
      </c>
      <c r="I6" s="14"/>
      <c r="J6" s="14"/>
      <c r="K6" s="45" t="str">
        <f>"170,0"</f>
        <v>170,0</v>
      </c>
      <c r="L6" s="16" t="str">
        <f>"100,9510"</f>
        <v>100,9510</v>
      </c>
      <c r="M6" s="11" t="s">
        <v>49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209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391</v>
      </c>
      <c r="B20" s="4" t="s">
        <v>338</v>
      </c>
      <c r="C20" s="4" t="s">
        <v>341</v>
      </c>
      <c r="D20" s="41">
        <v>170</v>
      </c>
      <c r="E20" s="42">
        <v>100.951009714007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B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8.5703125" style="7" bestFit="1" customWidth="1"/>
    <col min="13" max="13" width="16.42578125" style="4" bestFit="1" customWidth="1"/>
    <col min="14" max="16384" width="9.140625" style="3"/>
  </cols>
  <sheetData>
    <row r="1" spans="1:14" s="2" customFormat="1" ht="29.1" customHeight="1" x14ac:dyDescent="0.2">
      <c r="A1" s="62" t="s">
        <v>389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19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81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83</v>
      </c>
      <c r="B6" s="11" t="s">
        <v>84</v>
      </c>
      <c r="C6" s="11" t="s">
        <v>85</v>
      </c>
      <c r="D6" s="12" t="str">
        <f>"0,8831"</f>
        <v>0,8831</v>
      </c>
      <c r="E6" s="11" t="s">
        <v>43</v>
      </c>
      <c r="F6" s="11" t="s">
        <v>44</v>
      </c>
      <c r="G6" s="13" t="s">
        <v>86</v>
      </c>
      <c r="H6" s="44" t="s">
        <v>87</v>
      </c>
      <c r="I6" s="14" t="s">
        <v>88</v>
      </c>
      <c r="J6" s="14"/>
      <c r="K6" s="45" t="str">
        <f>"132,5"</f>
        <v>132,5</v>
      </c>
      <c r="L6" s="16" t="str">
        <f>"117,0174"</f>
        <v>117,0174</v>
      </c>
      <c r="M6" s="11" t="s">
        <v>49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195</v>
      </c>
      <c r="B17" s="35"/>
    </row>
    <row r="18" spans="1:5" ht="14.25" x14ac:dyDescent="0.2">
      <c r="A18" s="37"/>
      <c r="B18" s="38" t="s">
        <v>206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82</v>
      </c>
      <c r="B20" s="4" t="s">
        <v>206</v>
      </c>
      <c r="C20" s="4" t="s">
        <v>207</v>
      </c>
      <c r="D20" s="41">
        <v>132.5</v>
      </c>
      <c r="E20" s="42">
        <v>117.01737254858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B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1.8554687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16.42578125" style="4" bestFit="1" customWidth="1"/>
    <col min="14" max="16384" width="9.140625" style="3"/>
  </cols>
  <sheetData>
    <row r="1" spans="1:14" s="2" customFormat="1" ht="29.1" customHeight="1" x14ac:dyDescent="0.2">
      <c r="A1" s="62" t="s">
        <v>384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21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386</v>
      </c>
      <c r="B6" s="11" t="s">
        <v>387</v>
      </c>
      <c r="C6" s="11" t="s">
        <v>388</v>
      </c>
      <c r="D6" s="12" t="str">
        <f>"0,5610"</f>
        <v>0,5610</v>
      </c>
      <c r="E6" s="11" t="s">
        <v>54</v>
      </c>
      <c r="F6" s="11" t="s">
        <v>28</v>
      </c>
      <c r="G6" s="13" t="s">
        <v>35</v>
      </c>
      <c r="H6" s="13" t="s">
        <v>76</v>
      </c>
      <c r="I6" s="44" t="s">
        <v>145</v>
      </c>
      <c r="J6" s="14"/>
      <c r="K6" s="15" t="str">
        <f>"115,0"</f>
        <v>115,0</v>
      </c>
      <c r="L6" s="16" t="str">
        <f>"69,6762"</f>
        <v>69,6762</v>
      </c>
      <c r="M6" s="11" t="s">
        <v>61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214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385</v>
      </c>
      <c r="B20" s="4" t="s">
        <v>383</v>
      </c>
      <c r="C20" s="4" t="s">
        <v>341</v>
      </c>
      <c r="D20" s="41">
        <v>115</v>
      </c>
      <c r="E20" s="42">
        <v>69.6761986970902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16" workbookViewId="0">
      <selection activeCell="A15" sqref="A15:F1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8.5703125" style="7" bestFit="1" customWidth="1"/>
    <col min="13" max="13" width="30.28515625" style="4" bestFit="1" customWidth="1"/>
    <col min="14" max="16384" width="9.140625" style="3"/>
  </cols>
  <sheetData>
    <row r="1" spans="1:14" s="2" customFormat="1" ht="29.1" customHeight="1" x14ac:dyDescent="0.2">
      <c r="A1" s="62" t="s">
        <v>365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21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22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24</v>
      </c>
      <c r="B6" s="11" t="s">
        <v>25</v>
      </c>
      <c r="C6" s="11" t="s">
        <v>26</v>
      </c>
      <c r="D6" s="12" t="str">
        <f>"0,9679"</f>
        <v>0,9679</v>
      </c>
      <c r="E6" s="11" t="s">
        <v>27</v>
      </c>
      <c r="F6" s="11" t="s">
        <v>28</v>
      </c>
      <c r="G6" s="13" t="s">
        <v>34</v>
      </c>
      <c r="H6" s="13" t="s">
        <v>35</v>
      </c>
      <c r="I6" s="44" t="s">
        <v>36</v>
      </c>
      <c r="J6" s="14"/>
      <c r="K6" s="45" t="str">
        <f>"92,5"</f>
        <v>92,5</v>
      </c>
      <c r="L6" s="16" t="str">
        <f>"89,5261"</f>
        <v>89,5261</v>
      </c>
      <c r="M6" s="11" t="s">
        <v>38</v>
      </c>
      <c r="N6" s="3" t="s">
        <v>450</v>
      </c>
    </row>
    <row r="8" spans="1:14" ht="15" x14ac:dyDescent="0.2">
      <c r="A8" s="78" t="s">
        <v>22</v>
      </c>
      <c r="B8" s="78"/>
      <c r="C8" s="78"/>
      <c r="D8" s="79"/>
      <c r="E8" s="78"/>
      <c r="F8" s="78"/>
      <c r="G8" s="78"/>
      <c r="H8" s="78"/>
      <c r="I8" s="78"/>
      <c r="J8" s="78"/>
    </row>
    <row r="9" spans="1:14" x14ac:dyDescent="0.2">
      <c r="A9" s="11" t="s">
        <v>270</v>
      </c>
      <c r="B9" s="11" t="s">
        <v>52</v>
      </c>
      <c r="C9" s="11" t="s">
        <v>53</v>
      </c>
      <c r="D9" s="12" t="str">
        <f>"0,9724"</f>
        <v>0,9724</v>
      </c>
      <c r="E9" s="11" t="s">
        <v>54</v>
      </c>
      <c r="F9" s="11" t="s">
        <v>28</v>
      </c>
      <c r="G9" s="13" t="s">
        <v>58</v>
      </c>
      <c r="H9" s="13" t="s">
        <v>59</v>
      </c>
      <c r="I9" s="44" t="s">
        <v>60</v>
      </c>
      <c r="J9" s="14"/>
      <c r="K9" s="45" t="str">
        <f>"112,5"</f>
        <v>112,5</v>
      </c>
      <c r="L9" s="16" t="str">
        <f>"109,3894"</f>
        <v>109,3894</v>
      </c>
      <c r="M9" s="11" t="s">
        <v>61</v>
      </c>
      <c r="N9" s="3" t="s">
        <v>450</v>
      </c>
    </row>
    <row r="11" spans="1:14" ht="15" x14ac:dyDescent="0.2">
      <c r="A11" s="78" t="s">
        <v>62</v>
      </c>
      <c r="B11" s="78"/>
      <c r="C11" s="78"/>
      <c r="D11" s="79"/>
      <c r="E11" s="78"/>
      <c r="F11" s="78"/>
      <c r="G11" s="78"/>
      <c r="H11" s="78"/>
      <c r="I11" s="78"/>
      <c r="J11" s="78"/>
    </row>
    <row r="12" spans="1:14" x14ac:dyDescent="0.2">
      <c r="A12" s="11" t="s">
        <v>78</v>
      </c>
      <c r="B12" s="11" t="s">
        <v>79</v>
      </c>
      <c r="C12" s="11" t="s">
        <v>80</v>
      </c>
      <c r="D12" s="12" t="str">
        <f>"0,9187"</f>
        <v>0,9187</v>
      </c>
      <c r="E12" s="11" t="s">
        <v>54</v>
      </c>
      <c r="F12" s="11" t="s">
        <v>28</v>
      </c>
      <c r="G12" s="13" t="s">
        <v>35</v>
      </c>
      <c r="H12" s="13" t="s">
        <v>76</v>
      </c>
      <c r="I12" s="53" t="s">
        <v>45</v>
      </c>
      <c r="J12" s="14"/>
      <c r="K12" s="54" t="str">
        <f>"110,0"</f>
        <v>110,0</v>
      </c>
      <c r="L12" s="16" t="str">
        <f>"121,6726"</f>
        <v>121,6726</v>
      </c>
      <c r="M12" s="11" t="s">
        <v>61</v>
      </c>
      <c r="N12" s="3" t="s">
        <v>451</v>
      </c>
    </row>
    <row r="14" spans="1:14" ht="15" x14ac:dyDescent="0.2">
      <c r="A14" s="78" t="s">
        <v>100</v>
      </c>
      <c r="B14" s="78"/>
      <c r="C14" s="78"/>
      <c r="D14" s="79"/>
      <c r="E14" s="78"/>
      <c r="F14" s="78"/>
      <c r="G14" s="78"/>
      <c r="H14" s="78"/>
      <c r="I14" s="78"/>
      <c r="J14" s="78"/>
    </row>
    <row r="15" spans="1:14" x14ac:dyDescent="0.2">
      <c r="A15" s="11" t="s">
        <v>367</v>
      </c>
      <c r="B15" s="11" t="s">
        <v>368</v>
      </c>
      <c r="C15" s="11" t="s">
        <v>369</v>
      </c>
      <c r="D15" s="12" t="str">
        <f>"0,7283"</f>
        <v>0,7283</v>
      </c>
      <c r="E15" s="11" t="s">
        <v>96</v>
      </c>
      <c r="F15" s="11" t="s">
        <v>28</v>
      </c>
      <c r="G15" s="13" t="s">
        <v>48</v>
      </c>
      <c r="H15" s="13" t="s">
        <v>370</v>
      </c>
      <c r="I15" s="44" t="s">
        <v>123</v>
      </c>
      <c r="J15" s="14"/>
      <c r="K15" s="45" t="str">
        <f>"145,0"</f>
        <v>145,0</v>
      </c>
      <c r="L15" s="16" t="str">
        <f>"105,5963"</f>
        <v>105,5963</v>
      </c>
      <c r="M15" s="11" t="s">
        <v>99</v>
      </c>
      <c r="N15" s="3" t="s">
        <v>450</v>
      </c>
    </row>
    <row r="17" spans="1:14" ht="15" x14ac:dyDescent="0.2">
      <c r="A17" s="78" t="s">
        <v>81</v>
      </c>
      <c r="B17" s="78"/>
      <c r="C17" s="78"/>
      <c r="D17" s="79"/>
      <c r="E17" s="78"/>
      <c r="F17" s="78"/>
      <c r="G17" s="78"/>
      <c r="H17" s="78"/>
      <c r="I17" s="78"/>
      <c r="J17" s="78"/>
    </row>
    <row r="18" spans="1:14" x14ac:dyDescent="0.2">
      <c r="A18" s="11" t="s">
        <v>372</v>
      </c>
      <c r="B18" s="11" t="s">
        <v>373</v>
      </c>
      <c r="C18" s="11" t="s">
        <v>374</v>
      </c>
      <c r="D18" s="12" t="str">
        <f>"0,8271"</f>
        <v>0,8271</v>
      </c>
      <c r="E18" s="11" t="s">
        <v>54</v>
      </c>
      <c r="F18" s="11" t="s">
        <v>28</v>
      </c>
      <c r="G18" s="13" t="s">
        <v>76</v>
      </c>
      <c r="H18" s="44" t="s">
        <v>45</v>
      </c>
      <c r="I18" s="14" t="s">
        <v>47</v>
      </c>
      <c r="J18" s="14"/>
      <c r="K18" s="45" t="str">
        <f>"110,0"</f>
        <v>110,0</v>
      </c>
      <c r="L18" s="16" t="str">
        <f>"98,2595"</f>
        <v>98,2595</v>
      </c>
      <c r="M18" s="11" t="s">
        <v>61</v>
      </c>
      <c r="N18" s="3" t="s">
        <v>450</v>
      </c>
    </row>
    <row r="20" spans="1:14" ht="15" x14ac:dyDescent="0.2">
      <c r="A20" s="78" t="s">
        <v>91</v>
      </c>
      <c r="B20" s="78"/>
      <c r="C20" s="78"/>
      <c r="D20" s="79"/>
      <c r="E20" s="78"/>
      <c r="F20" s="78"/>
      <c r="G20" s="78"/>
      <c r="H20" s="78"/>
      <c r="I20" s="78"/>
      <c r="J20" s="78"/>
    </row>
    <row r="21" spans="1:14" x14ac:dyDescent="0.2">
      <c r="A21" s="11" t="s">
        <v>120</v>
      </c>
      <c r="B21" s="11" t="s">
        <v>121</v>
      </c>
      <c r="C21" s="11" t="s">
        <v>122</v>
      </c>
      <c r="D21" s="12" t="str">
        <f>"0,7337"</f>
        <v>0,7337</v>
      </c>
      <c r="E21" s="11" t="s">
        <v>54</v>
      </c>
      <c r="F21" s="11" t="s">
        <v>28</v>
      </c>
      <c r="G21" s="13" t="s">
        <v>126</v>
      </c>
      <c r="H21" s="13" t="s">
        <v>127</v>
      </c>
      <c r="I21" s="44" t="s">
        <v>128</v>
      </c>
      <c r="J21" s="14"/>
      <c r="K21" s="45" t="str">
        <f>"175,0"</f>
        <v>175,0</v>
      </c>
      <c r="L21" s="16" t="str">
        <f>"133,5334"</f>
        <v>133,5334</v>
      </c>
      <c r="M21" s="11" t="s">
        <v>61</v>
      </c>
      <c r="N21" s="3" t="s">
        <v>450</v>
      </c>
    </row>
    <row r="23" spans="1:14" ht="15" x14ac:dyDescent="0.2">
      <c r="A23" s="78" t="s">
        <v>100</v>
      </c>
      <c r="B23" s="78"/>
      <c r="C23" s="78"/>
      <c r="D23" s="79"/>
      <c r="E23" s="78"/>
      <c r="F23" s="78"/>
      <c r="G23" s="78"/>
      <c r="H23" s="78"/>
      <c r="I23" s="78"/>
      <c r="J23" s="78"/>
    </row>
    <row r="24" spans="1:14" x14ac:dyDescent="0.2">
      <c r="A24" s="17" t="s">
        <v>376</v>
      </c>
      <c r="B24" s="17" t="s">
        <v>377</v>
      </c>
      <c r="C24" s="17" t="s">
        <v>378</v>
      </c>
      <c r="D24" s="18" t="str">
        <f>"0,6659"</f>
        <v>0,6659</v>
      </c>
      <c r="E24" s="17" t="s">
        <v>54</v>
      </c>
      <c r="F24" s="17" t="s">
        <v>28</v>
      </c>
      <c r="G24" s="20" t="s">
        <v>238</v>
      </c>
      <c r="H24" s="46" t="s">
        <v>191</v>
      </c>
      <c r="I24" s="19" t="s">
        <v>156</v>
      </c>
      <c r="J24" s="19"/>
      <c r="K24" s="47" t="str">
        <f>"172,5"</f>
        <v>172,5</v>
      </c>
      <c r="L24" s="22" t="str">
        <f>"114,8677"</f>
        <v>114,8677</v>
      </c>
      <c r="M24" s="17" t="s">
        <v>61</v>
      </c>
      <c r="N24" s="3" t="s">
        <v>450</v>
      </c>
    </row>
    <row r="25" spans="1:14" x14ac:dyDescent="0.2">
      <c r="A25" s="23" t="s">
        <v>380</v>
      </c>
      <c r="B25" s="23" t="s">
        <v>381</v>
      </c>
      <c r="C25" s="23" t="s">
        <v>382</v>
      </c>
      <c r="D25" s="24" t="str">
        <f>"0,6648"</f>
        <v>0,6648</v>
      </c>
      <c r="E25" s="23" t="s">
        <v>54</v>
      </c>
      <c r="F25" s="23" t="s">
        <v>28</v>
      </c>
      <c r="G25" s="26" t="s">
        <v>156</v>
      </c>
      <c r="H25" s="26" t="s">
        <v>137</v>
      </c>
      <c r="I25" s="55" t="s">
        <v>138</v>
      </c>
      <c r="J25" s="25"/>
      <c r="K25" s="56" t="str">
        <f>"205,0"</f>
        <v>205,0</v>
      </c>
      <c r="L25" s="28" t="str">
        <f>"136,2942"</f>
        <v>136,2942</v>
      </c>
      <c r="M25" s="23" t="s">
        <v>61</v>
      </c>
      <c r="N25" s="3" t="s">
        <v>450</v>
      </c>
    </row>
    <row r="27" spans="1:14" ht="15" x14ac:dyDescent="0.2">
      <c r="A27" s="78" t="s">
        <v>146</v>
      </c>
      <c r="B27" s="78"/>
      <c r="C27" s="78"/>
      <c r="D27" s="79"/>
      <c r="E27" s="78"/>
      <c r="F27" s="78"/>
      <c r="G27" s="78"/>
      <c r="H27" s="78"/>
      <c r="I27" s="78"/>
      <c r="J27" s="78"/>
    </row>
    <row r="28" spans="1:14" x14ac:dyDescent="0.2">
      <c r="A28" s="17" t="s">
        <v>148</v>
      </c>
      <c r="B28" s="17" t="s">
        <v>149</v>
      </c>
      <c r="C28" s="17" t="s">
        <v>150</v>
      </c>
      <c r="D28" s="18" t="str">
        <f>"0,5993"</f>
        <v>0,5993</v>
      </c>
      <c r="E28" s="17" t="s">
        <v>27</v>
      </c>
      <c r="F28" s="17" t="s">
        <v>105</v>
      </c>
      <c r="G28" s="20" t="s">
        <v>45</v>
      </c>
      <c r="H28" s="20" t="s">
        <v>86</v>
      </c>
      <c r="I28" s="20" t="s">
        <v>114</v>
      </c>
      <c r="J28" s="19"/>
      <c r="K28" s="21" t="str">
        <f>"140,0"</f>
        <v>140,0</v>
      </c>
      <c r="L28" s="22" t="str">
        <f>"83,9020"</f>
        <v>83,9020</v>
      </c>
      <c r="M28" s="17" t="s">
        <v>108</v>
      </c>
    </row>
    <row r="29" spans="1:14" x14ac:dyDescent="0.2">
      <c r="A29" s="23" t="s">
        <v>152</v>
      </c>
      <c r="B29" s="23" t="s">
        <v>153</v>
      </c>
      <c r="C29" s="23" t="s">
        <v>154</v>
      </c>
      <c r="D29" s="24" t="str">
        <f>"0,5930"</f>
        <v>0,5930</v>
      </c>
      <c r="E29" s="23" t="s">
        <v>96</v>
      </c>
      <c r="F29" s="23" t="s">
        <v>28</v>
      </c>
      <c r="G29" s="26" t="s">
        <v>157</v>
      </c>
      <c r="H29" s="55" t="s">
        <v>158</v>
      </c>
      <c r="I29" s="25"/>
      <c r="J29" s="25"/>
      <c r="K29" s="56" t="str">
        <f>"240,0"</f>
        <v>240,0</v>
      </c>
      <c r="L29" s="28" t="str">
        <f>"142,3200"</f>
        <v>142,3200</v>
      </c>
      <c r="M29" s="23" t="s">
        <v>99</v>
      </c>
      <c r="N29" s="3" t="s">
        <v>450</v>
      </c>
    </row>
    <row r="31" spans="1:14" ht="15" x14ac:dyDescent="0.2">
      <c r="A31" s="78" t="s">
        <v>165</v>
      </c>
      <c r="B31" s="78"/>
      <c r="C31" s="78"/>
      <c r="D31" s="79"/>
      <c r="E31" s="78"/>
      <c r="F31" s="78"/>
      <c r="G31" s="78"/>
      <c r="H31" s="78"/>
      <c r="I31" s="78"/>
      <c r="J31" s="78"/>
    </row>
    <row r="32" spans="1:14" x14ac:dyDescent="0.2">
      <c r="A32" s="17" t="s">
        <v>167</v>
      </c>
      <c r="B32" s="17" t="s">
        <v>168</v>
      </c>
      <c r="C32" s="17" t="s">
        <v>169</v>
      </c>
      <c r="D32" s="18" t="str">
        <f>"0,5472"</f>
        <v>0,5472</v>
      </c>
      <c r="E32" s="17" t="s">
        <v>43</v>
      </c>
      <c r="F32" s="17" t="s">
        <v>44</v>
      </c>
      <c r="G32" s="20" t="s">
        <v>171</v>
      </c>
      <c r="H32" s="46" t="s">
        <v>172</v>
      </c>
      <c r="I32" s="19" t="s">
        <v>173</v>
      </c>
      <c r="J32" s="19"/>
      <c r="K32" s="47" t="str">
        <f>"300,0"</f>
        <v>300,0</v>
      </c>
      <c r="L32" s="22" t="str">
        <f>"164,1600"</f>
        <v>164,1600</v>
      </c>
      <c r="M32" s="17" t="s">
        <v>49</v>
      </c>
      <c r="N32" s="3" t="s">
        <v>450</v>
      </c>
    </row>
    <row r="33" spans="1:13" x14ac:dyDescent="0.2">
      <c r="A33" s="23" t="s">
        <v>175</v>
      </c>
      <c r="B33" s="23" t="s">
        <v>176</v>
      </c>
      <c r="C33" s="23" t="s">
        <v>177</v>
      </c>
      <c r="D33" s="24" t="str">
        <f>"0,5382"</f>
        <v>0,5382</v>
      </c>
      <c r="E33" s="23" t="s">
        <v>54</v>
      </c>
      <c r="F33" s="23" t="s">
        <v>28</v>
      </c>
      <c r="G33" s="26" t="s">
        <v>157</v>
      </c>
      <c r="H33" s="26" t="s">
        <v>181</v>
      </c>
      <c r="I33" s="25" t="s">
        <v>182</v>
      </c>
      <c r="J33" s="25"/>
      <c r="K33" s="27" t="str">
        <f>"245,0"</f>
        <v>245,0</v>
      </c>
      <c r="L33" s="28" t="str">
        <f>"131,8590"</f>
        <v>131,8590</v>
      </c>
      <c r="M33" s="23" t="s">
        <v>183</v>
      </c>
    </row>
    <row r="35" spans="1:13" ht="15" x14ac:dyDescent="0.2">
      <c r="E35" s="9" t="s">
        <v>11</v>
      </c>
    </row>
    <row r="36" spans="1:13" ht="15" x14ac:dyDescent="0.2">
      <c r="E36" s="9" t="s">
        <v>12</v>
      </c>
    </row>
    <row r="37" spans="1:13" ht="15" x14ac:dyDescent="0.2">
      <c r="E37" s="9" t="s">
        <v>13</v>
      </c>
    </row>
    <row r="38" spans="1:13" ht="15" x14ac:dyDescent="0.2">
      <c r="E38" s="9" t="s">
        <v>14</v>
      </c>
    </row>
    <row r="39" spans="1:13" ht="15" x14ac:dyDescent="0.2">
      <c r="E39" s="9" t="s">
        <v>14</v>
      </c>
    </row>
    <row r="40" spans="1:13" ht="15" x14ac:dyDescent="0.2">
      <c r="E40" s="9" t="s">
        <v>15</v>
      </c>
    </row>
    <row r="41" spans="1:13" ht="15" x14ac:dyDescent="0.2">
      <c r="E41" s="9"/>
    </row>
    <row r="43" spans="1:13" ht="18" x14ac:dyDescent="0.25">
      <c r="A43" s="10" t="s">
        <v>16</v>
      </c>
      <c r="B43" s="10"/>
    </row>
    <row r="44" spans="1:13" ht="15" x14ac:dyDescent="0.2">
      <c r="A44" s="35" t="s">
        <v>195</v>
      </c>
      <c r="B44" s="35"/>
    </row>
    <row r="45" spans="1:13" ht="14.25" x14ac:dyDescent="0.2">
      <c r="A45" s="37"/>
      <c r="B45" s="38" t="s">
        <v>206</v>
      </c>
    </row>
    <row r="46" spans="1:13" ht="15" x14ac:dyDescent="0.2">
      <c r="A46" s="39" t="s">
        <v>197</v>
      </c>
      <c r="B46" s="39" t="s">
        <v>198</v>
      </c>
      <c r="C46" s="39" t="s">
        <v>199</v>
      </c>
      <c r="D46" s="40" t="s">
        <v>247</v>
      </c>
      <c r="E46" s="39" t="s">
        <v>201</v>
      </c>
    </row>
    <row r="47" spans="1:13" x14ac:dyDescent="0.2">
      <c r="A47" s="36" t="s">
        <v>366</v>
      </c>
      <c r="B47" s="4" t="s">
        <v>206</v>
      </c>
      <c r="C47" s="4" t="s">
        <v>212</v>
      </c>
      <c r="D47" s="41">
        <v>145</v>
      </c>
      <c r="E47" s="42">
        <v>105.59625387191799</v>
      </c>
    </row>
    <row r="48" spans="1:13" x14ac:dyDescent="0.2">
      <c r="A48" s="36" t="s">
        <v>23</v>
      </c>
      <c r="B48" s="4" t="s">
        <v>206</v>
      </c>
      <c r="C48" s="4" t="s">
        <v>208</v>
      </c>
      <c r="D48" s="41">
        <v>92.5</v>
      </c>
      <c r="E48" s="42">
        <v>89.526127725839601</v>
      </c>
    </row>
    <row r="50" spans="1:5" ht="14.25" x14ac:dyDescent="0.2">
      <c r="A50" s="37"/>
      <c r="B50" s="38" t="s">
        <v>209</v>
      </c>
    </row>
    <row r="51" spans="1:5" ht="15" x14ac:dyDescent="0.2">
      <c r="A51" s="39" t="s">
        <v>197</v>
      </c>
      <c r="B51" s="39" t="s">
        <v>198</v>
      </c>
      <c r="C51" s="39" t="s">
        <v>199</v>
      </c>
      <c r="D51" s="40" t="s">
        <v>247</v>
      </c>
      <c r="E51" s="39" t="s">
        <v>201</v>
      </c>
    </row>
    <row r="52" spans="1:5" x14ac:dyDescent="0.2">
      <c r="A52" s="36" t="s">
        <v>77</v>
      </c>
      <c r="B52" s="4" t="s">
        <v>210</v>
      </c>
      <c r="C52" s="4" t="s">
        <v>203</v>
      </c>
      <c r="D52" s="41">
        <v>110</v>
      </c>
      <c r="E52" s="42">
        <v>121.672625322342</v>
      </c>
    </row>
    <row r="53" spans="1:5" x14ac:dyDescent="0.2">
      <c r="A53" s="36" t="s">
        <v>50</v>
      </c>
      <c r="B53" s="4" t="s">
        <v>211</v>
      </c>
      <c r="C53" s="4" t="s">
        <v>208</v>
      </c>
      <c r="D53" s="41">
        <v>112.5</v>
      </c>
      <c r="E53" s="42">
        <v>109.389375150204</v>
      </c>
    </row>
    <row r="56" spans="1:5" ht="15" x14ac:dyDescent="0.2">
      <c r="A56" s="35" t="s">
        <v>213</v>
      </c>
      <c r="B56" s="35"/>
    </row>
    <row r="57" spans="1:5" ht="14.25" x14ac:dyDescent="0.2">
      <c r="A57" s="37"/>
      <c r="B57" s="38" t="s">
        <v>214</v>
      </c>
    </row>
    <row r="58" spans="1:5" ht="15" x14ac:dyDescent="0.2">
      <c r="A58" s="39" t="s">
        <v>197</v>
      </c>
      <c r="B58" s="39" t="s">
        <v>198</v>
      </c>
      <c r="C58" s="39" t="s">
        <v>199</v>
      </c>
      <c r="D58" s="40" t="s">
        <v>247</v>
      </c>
      <c r="E58" s="39" t="s">
        <v>201</v>
      </c>
    </row>
    <row r="59" spans="1:5" x14ac:dyDescent="0.2">
      <c r="A59" s="36" t="s">
        <v>119</v>
      </c>
      <c r="B59" s="4" t="s">
        <v>215</v>
      </c>
      <c r="C59" s="4" t="s">
        <v>205</v>
      </c>
      <c r="D59" s="41">
        <v>175</v>
      </c>
      <c r="E59" s="42">
        <v>133.533395886421</v>
      </c>
    </row>
    <row r="60" spans="1:5" x14ac:dyDescent="0.2">
      <c r="A60" s="36" t="s">
        <v>371</v>
      </c>
      <c r="B60" s="4" t="s">
        <v>383</v>
      </c>
      <c r="C60" s="4" t="s">
        <v>207</v>
      </c>
      <c r="D60" s="41">
        <v>110</v>
      </c>
      <c r="E60" s="42">
        <v>98.259477496147198</v>
      </c>
    </row>
    <row r="62" spans="1:5" ht="14.25" x14ac:dyDescent="0.2">
      <c r="A62" s="37"/>
      <c r="B62" s="38" t="s">
        <v>206</v>
      </c>
    </row>
    <row r="63" spans="1:5" ht="15" x14ac:dyDescent="0.2">
      <c r="A63" s="39" t="s">
        <v>197</v>
      </c>
      <c r="B63" s="39" t="s">
        <v>198</v>
      </c>
      <c r="C63" s="39" t="s">
        <v>199</v>
      </c>
      <c r="D63" s="40" t="s">
        <v>247</v>
      </c>
      <c r="E63" s="39" t="s">
        <v>201</v>
      </c>
    </row>
    <row r="64" spans="1:5" x14ac:dyDescent="0.2">
      <c r="A64" s="36" t="s">
        <v>166</v>
      </c>
      <c r="B64" s="4" t="s">
        <v>206</v>
      </c>
      <c r="C64" s="4" t="s">
        <v>217</v>
      </c>
      <c r="D64" s="41">
        <v>300</v>
      </c>
      <c r="E64" s="42">
        <v>164.160007238388</v>
      </c>
    </row>
    <row r="65" spans="1:5" x14ac:dyDescent="0.2">
      <c r="A65" s="36" t="s">
        <v>174</v>
      </c>
      <c r="B65" s="4" t="s">
        <v>206</v>
      </c>
      <c r="C65" s="4" t="s">
        <v>217</v>
      </c>
      <c r="D65" s="41">
        <v>245</v>
      </c>
      <c r="E65" s="42">
        <v>131.85900509357501</v>
      </c>
    </row>
    <row r="66" spans="1:5" x14ac:dyDescent="0.2">
      <c r="A66" s="36" t="s">
        <v>375</v>
      </c>
      <c r="B66" s="4" t="s">
        <v>206</v>
      </c>
      <c r="C66" s="4" t="s">
        <v>212</v>
      </c>
      <c r="D66" s="41">
        <v>172.5</v>
      </c>
      <c r="E66" s="42">
        <v>114.867748618126</v>
      </c>
    </row>
    <row r="67" spans="1:5" x14ac:dyDescent="0.2">
      <c r="A67" s="36" t="s">
        <v>147</v>
      </c>
      <c r="B67" s="4" t="s">
        <v>206</v>
      </c>
      <c r="C67" s="4" t="s">
        <v>218</v>
      </c>
      <c r="D67" s="41">
        <v>140</v>
      </c>
      <c r="E67" s="42">
        <v>83.902003765106201</v>
      </c>
    </row>
    <row r="69" spans="1:5" ht="14.25" x14ac:dyDescent="0.2">
      <c r="A69" s="37"/>
      <c r="B69" s="38" t="s">
        <v>209</v>
      </c>
    </row>
    <row r="70" spans="1:5" ht="15" x14ac:dyDescent="0.2">
      <c r="A70" s="39" t="s">
        <v>197</v>
      </c>
      <c r="B70" s="39" t="s">
        <v>198</v>
      </c>
      <c r="C70" s="39" t="s">
        <v>199</v>
      </c>
      <c r="D70" s="40" t="s">
        <v>247</v>
      </c>
      <c r="E70" s="39" t="s">
        <v>201</v>
      </c>
    </row>
    <row r="71" spans="1:5" x14ac:dyDescent="0.2">
      <c r="A71" s="36" t="s">
        <v>151</v>
      </c>
      <c r="B71" s="4" t="s">
        <v>211</v>
      </c>
      <c r="C71" s="4" t="s">
        <v>218</v>
      </c>
      <c r="D71" s="41">
        <v>240</v>
      </c>
      <c r="E71" s="42">
        <v>142.31999874114999</v>
      </c>
    </row>
    <row r="72" spans="1:5" x14ac:dyDescent="0.2">
      <c r="A72" s="36" t="s">
        <v>379</v>
      </c>
      <c r="B72" s="4" t="s">
        <v>211</v>
      </c>
      <c r="C72" s="4" t="s">
        <v>212</v>
      </c>
      <c r="D72" s="41">
        <v>205</v>
      </c>
      <c r="E72" s="42">
        <v>136.29424929618801</v>
      </c>
    </row>
  </sheetData>
  <mergeCells count="20">
    <mergeCell ref="A27:J27"/>
    <mergeCell ref="A31:J31"/>
    <mergeCell ref="A8:J8"/>
    <mergeCell ref="A11:J11"/>
    <mergeCell ref="A14:J14"/>
    <mergeCell ref="A17:J17"/>
    <mergeCell ref="A20:J20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F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6" bestFit="1" customWidth="1"/>
    <col min="12" max="12" width="8.5703125" style="7" bestFit="1" customWidth="1"/>
    <col min="13" max="13" width="8.85546875" style="4" bestFit="1" customWidth="1"/>
    <col min="14" max="16384" width="9.140625" style="3"/>
  </cols>
  <sheetData>
    <row r="1" spans="1:14" s="2" customFormat="1" ht="29.1" customHeight="1" x14ac:dyDescent="0.2">
      <c r="A1" s="62" t="s">
        <v>359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361</v>
      </c>
      <c r="B6" s="11" t="s">
        <v>362</v>
      </c>
      <c r="C6" s="11" t="s">
        <v>363</v>
      </c>
      <c r="D6" s="12" t="str">
        <f>"0,5691"</f>
        <v>0,5691</v>
      </c>
      <c r="E6" s="11" t="s">
        <v>133</v>
      </c>
      <c r="F6" s="11" t="s">
        <v>44</v>
      </c>
      <c r="G6" s="44" t="s">
        <v>172</v>
      </c>
      <c r="H6" s="14" t="s">
        <v>364</v>
      </c>
      <c r="I6" s="14"/>
      <c r="J6" s="14"/>
      <c r="K6" s="45" t="str">
        <f>"300,0"</f>
        <v>300,0</v>
      </c>
      <c r="L6" s="16" t="str">
        <f>"170,7300"</f>
        <v>170,7300</v>
      </c>
      <c r="M6" s="11" t="s">
        <v>139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206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360</v>
      </c>
      <c r="B20" s="4" t="s">
        <v>206</v>
      </c>
      <c r="C20" s="4" t="s">
        <v>341</v>
      </c>
      <c r="D20" s="41">
        <v>300</v>
      </c>
      <c r="E20" s="42">
        <v>170.73000669479401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8.5703125" style="7" bestFit="1" customWidth="1"/>
    <col min="13" max="13" width="8.85546875" style="4" bestFit="1" customWidth="1"/>
    <col min="14" max="16384" width="9.140625" style="3"/>
  </cols>
  <sheetData>
    <row r="1" spans="1:14" s="2" customFormat="1" ht="29.1" customHeight="1" x14ac:dyDescent="0.2">
      <c r="A1" s="62" t="s">
        <v>353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100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355</v>
      </c>
      <c r="B6" s="11" t="s">
        <v>356</v>
      </c>
      <c r="C6" s="11" t="s">
        <v>357</v>
      </c>
      <c r="D6" s="12" t="str">
        <f>"0,6801"</f>
        <v>0,6801</v>
      </c>
      <c r="E6" s="11" t="s">
        <v>133</v>
      </c>
      <c r="F6" s="11" t="s">
        <v>44</v>
      </c>
      <c r="G6" s="44" t="s">
        <v>115</v>
      </c>
      <c r="H6" s="14" t="s">
        <v>358</v>
      </c>
      <c r="I6" s="14" t="s">
        <v>358</v>
      </c>
      <c r="J6" s="14"/>
      <c r="K6" s="45" t="str">
        <f>"150,0"</f>
        <v>150,0</v>
      </c>
      <c r="L6" s="16" t="str">
        <f>"102,0150"</f>
        <v>102,0150</v>
      </c>
      <c r="M6" s="11" t="s">
        <v>139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206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354</v>
      </c>
      <c r="B20" s="4" t="s">
        <v>206</v>
      </c>
      <c r="C20" s="4" t="s">
        <v>212</v>
      </c>
      <c r="D20" s="41">
        <v>150</v>
      </c>
      <c r="E20" s="42">
        <v>102.015003561974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C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27.5703125" style="4" bestFit="1" customWidth="1"/>
    <col min="14" max="16384" width="9.140625" style="3"/>
  </cols>
  <sheetData>
    <row r="1" spans="1:14" s="2" customFormat="1" ht="29.1" customHeight="1" x14ac:dyDescent="0.2">
      <c r="A1" s="62" t="s">
        <v>343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345</v>
      </c>
      <c r="B6" s="11" t="s">
        <v>346</v>
      </c>
      <c r="C6" s="11" t="s">
        <v>347</v>
      </c>
      <c r="D6" s="12" t="str">
        <f>"0,5701"</f>
        <v>0,5701</v>
      </c>
      <c r="E6" s="11" t="s">
        <v>133</v>
      </c>
      <c r="F6" s="11" t="s">
        <v>134</v>
      </c>
      <c r="G6" s="13" t="s">
        <v>325</v>
      </c>
      <c r="H6" s="44" t="s">
        <v>300</v>
      </c>
      <c r="I6" s="14" t="s">
        <v>115</v>
      </c>
      <c r="J6" s="14"/>
      <c r="K6" s="45" t="str">
        <f>"147,5"</f>
        <v>147,5</v>
      </c>
      <c r="L6" s="16" t="str">
        <f>"93,9283"</f>
        <v>93,9283</v>
      </c>
      <c r="M6" s="11" t="s">
        <v>348</v>
      </c>
      <c r="N6" s="3" t="s">
        <v>450</v>
      </c>
    </row>
    <row r="8" spans="1:14" ht="15" x14ac:dyDescent="0.2">
      <c r="A8" s="78" t="s">
        <v>165</v>
      </c>
      <c r="B8" s="78"/>
      <c r="C8" s="78"/>
      <c r="D8" s="79"/>
      <c r="E8" s="78"/>
      <c r="F8" s="78"/>
      <c r="G8" s="78"/>
      <c r="H8" s="78"/>
      <c r="I8" s="78"/>
      <c r="J8" s="78"/>
    </row>
    <row r="9" spans="1:14" x14ac:dyDescent="0.2">
      <c r="A9" s="11" t="s">
        <v>350</v>
      </c>
      <c r="B9" s="11" t="s">
        <v>351</v>
      </c>
      <c r="C9" s="11" t="s">
        <v>352</v>
      </c>
      <c r="D9" s="12" t="str">
        <f>"0,5372"</f>
        <v>0,5372</v>
      </c>
      <c r="E9" s="11" t="s">
        <v>43</v>
      </c>
      <c r="F9" s="11" t="s">
        <v>44</v>
      </c>
      <c r="G9" s="14" t="s">
        <v>155</v>
      </c>
      <c r="H9" s="44" t="s">
        <v>155</v>
      </c>
      <c r="I9" s="14" t="s">
        <v>128</v>
      </c>
      <c r="J9" s="14"/>
      <c r="K9" s="45" t="str">
        <f>"170,0"</f>
        <v>170,0</v>
      </c>
      <c r="L9" s="16" t="str">
        <f>"95,7165"</f>
        <v>95,7165</v>
      </c>
      <c r="M9" s="11" t="s">
        <v>49</v>
      </c>
      <c r="N9" s="3" t="s">
        <v>450</v>
      </c>
    </row>
    <row r="11" spans="1:14" ht="15" x14ac:dyDescent="0.2">
      <c r="E11" s="9" t="s">
        <v>11</v>
      </c>
    </row>
    <row r="12" spans="1:14" ht="15" x14ac:dyDescent="0.2">
      <c r="E12" s="9" t="s">
        <v>12</v>
      </c>
    </row>
    <row r="13" spans="1:14" ht="15" x14ac:dyDescent="0.2">
      <c r="E13" s="9" t="s">
        <v>13</v>
      </c>
    </row>
    <row r="14" spans="1:14" ht="15" x14ac:dyDescent="0.2">
      <c r="E14" s="9" t="s">
        <v>14</v>
      </c>
    </row>
    <row r="15" spans="1:14" ht="15" x14ac:dyDescent="0.2">
      <c r="E15" s="9" t="s">
        <v>14</v>
      </c>
    </row>
    <row r="16" spans="1:14" ht="15" x14ac:dyDescent="0.2">
      <c r="E16" s="9" t="s">
        <v>15</v>
      </c>
    </row>
    <row r="17" spans="1:5" ht="15" x14ac:dyDescent="0.2">
      <c r="E17" s="9"/>
    </row>
    <row r="19" spans="1:5" ht="18" x14ac:dyDescent="0.25">
      <c r="A19" s="10" t="s">
        <v>16</v>
      </c>
      <c r="B19" s="10"/>
    </row>
    <row r="20" spans="1:5" ht="15" x14ac:dyDescent="0.2">
      <c r="A20" s="35" t="s">
        <v>213</v>
      </c>
      <c r="B20" s="35"/>
    </row>
    <row r="21" spans="1:5" ht="14.25" x14ac:dyDescent="0.2">
      <c r="A21" s="37"/>
      <c r="B21" s="38" t="s">
        <v>209</v>
      </c>
    </row>
    <row r="22" spans="1:5" ht="15" x14ac:dyDescent="0.2">
      <c r="A22" s="39" t="s">
        <v>197</v>
      </c>
      <c r="B22" s="39" t="s">
        <v>198</v>
      </c>
      <c r="C22" s="39" t="s">
        <v>199</v>
      </c>
      <c r="D22" s="40" t="s">
        <v>247</v>
      </c>
      <c r="E22" s="39" t="s">
        <v>201</v>
      </c>
    </row>
    <row r="23" spans="1:5" x14ac:dyDescent="0.2">
      <c r="A23" s="36" t="s">
        <v>349</v>
      </c>
      <c r="B23" s="4" t="s">
        <v>338</v>
      </c>
      <c r="C23" s="4" t="s">
        <v>217</v>
      </c>
      <c r="D23" s="41">
        <v>170</v>
      </c>
      <c r="E23" s="42">
        <v>95.716456856727604</v>
      </c>
    </row>
    <row r="24" spans="1:5" x14ac:dyDescent="0.2">
      <c r="A24" s="36" t="s">
        <v>344</v>
      </c>
      <c r="B24" s="4" t="s">
        <v>338</v>
      </c>
      <c r="C24" s="4" t="s">
        <v>341</v>
      </c>
      <c r="D24" s="41">
        <v>147.5</v>
      </c>
      <c r="E24" s="42">
        <v>93.928252305537498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C10" workbookViewId="0">
      <selection activeCell="N32" sqref="N3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3.42578125" style="4" bestFit="1" customWidth="1"/>
    <col min="7" max="10" width="5.5703125" style="3" customWidth="1"/>
    <col min="11" max="11" width="7.85546875" style="6" bestFit="1" customWidth="1"/>
    <col min="12" max="12" width="8.5703125" style="7" bestFit="1" customWidth="1"/>
    <col min="13" max="13" width="31.28515625" style="4" bestFit="1" customWidth="1"/>
    <col min="14" max="16384" width="9.140625" style="3"/>
  </cols>
  <sheetData>
    <row r="1" spans="1:14" s="2" customFormat="1" ht="29.1" customHeight="1" x14ac:dyDescent="0.2">
      <c r="A1" s="62" t="s">
        <v>262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22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7" t="s">
        <v>263</v>
      </c>
      <c r="B6" s="17" t="s">
        <v>41</v>
      </c>
      <c r="C6" s="17" t="s">
        <v>42</v>
      </c>
      <c r="D6" s="18" t="str">
        <f>"0,9770"</f>
        <v>0,9770</v>
      </c>
      <c r="E6" s="17" t="s">
        <v>43</v>
      </c>
      <c r="F6" s="17" t="s">
        <v>44</v>
      </c>
      <c r="G6" s="20" t="s">
        <v>29</v>
      </c>
      <c r="H6" s="46" t="s">
        <v>30</v>
      </c>
      <c r="I6" s="19" t="s">
        <v>46</v>
      </c>
      <c r="J6" s="19"/>
      <c r="K6" s="47" t="str">
        <f>"65,0"</f>
        <v>65,0</v>
      </c>
      <c r="L6" s="22" t="str">
        <f>"63,5050"</f>
        <v>63,5050</v>
      </c>
      <c r="M6" s="17" t="s">
        <v>49</v>
      </c>
      <c r="N6" s="3" t="s">
        <v>450</v>
      </c>
    </row>
    <row r="7" spans="1:14" x14ac:dyDescent="0.2">
      <c r="A7" s="29" t="s">
        <v>265</v>
      </c>
      <c r="B7" s="29" t="s">
        <v>266</v>
      </c>
      <c r="C7" s="29" t="s">
        <v>267</v>
      </c>
      <c r="D7" s="30" t="str">
        <f>"0,9701"</f>
        <v>0,9701</v>
      </c>
      <c r="E7" s="29" t="s">
        <v>232</v>
      </c>
      <c r="F7" s="29" t="s">
        <v>28</v>
      </c>
      <c r="G7" s="31" t="s">
        <v>55</v>
      </c>
      <c r="H7" s="32" t="s">
        <v>268</v>
      </c>
      <c r="I7" s="32" t="s">
        <v>268</v>
      </c>
      <c r="J7" s="32"/>
      <c r="K7" s="33" t="str">
        <f>"45,0"</f>
        <v>45,0</v>
      </c>
      <c r="L7" s="34" t="str">
        <f>"43,6545"</f>
        <v>43,6545</v>
      </c>
      <c r="M7" s="29" t="s">
        <v>269</v>
      </c>
    </row>
    <row r="8" spans="1:14" x14ac:dyDescent="0.2">
      <c r="A8" s="23" t="s">
        <v>270</v>
      </c>
      <c r="B8" s="23" t="s">
        <v>52</v>
      </c>
      <c r="C8" s="23" t="s">
        <v>53</v>
      </c>
      <c r="D8" s="24" t="str">
        <f>"0,9724"</f>
        <v>0,9724</v>
      </c>
      <c r="E8" s="23" t="s">
        <v>54</v>
      </c>
      <c r="F8" s="23" t="s">
        <v>28</v>
      </c>
      <c r="G8" s="26" t="s">
        <v>55</v>
      </c>
      <c r="H8" s="26" t="s">
        <v>56</v>
      </c>
      <c r="I8" s="25" t="s">
        <v>57</v>
      </c>
      <c r="J8" s="25"/>
      <c r="K8" s="27" t="str">
        <f>"50,0"</f>
        <v>50,0</v>
      </c>
      <c r="L8" s="28" t="str">
        <f>"48,6175"</f>
        <v>48,6175</v>
      </c>
      <c r="M8" s="23" t="s">
        <v>61</v>
      </c>
    </row>
    <row r="10" spans="1:14" ht="15" x14ac:dyDescent="0.2">
      <c r="A10" s="78" t="s">
        <v>62</v>
      </c>
      <c r="B10" s="78"/>
      <c r="C10" s="78"/>
      <c r="D10" s="79"/>
      <c r="E10" s="78"/>
      <c r="F10" s="78"/>
      <c r="G10" s="78"/>
      <c r="H10" s="78"/>
      <c r="I10" s="78"/>
      <c r="J10" s="78"/>
    </row>
    <row r="11" spans="1:14" x14ac:dyDescent="0.2">
      <c r="A11" s="17" t="s">
        <v>272</v>
      </c>
      <c r="B11" s="17" t="s">
        <v>273</v>
      </c>
      <c r="C11" s="17" t="s">
        <v>274</v>
      </c>
      <c r="D11" s="18" t="str">
        <f>"0,9194"</f>
        <v>0,9194</v>
      </c>
      <c r="E11" s="17" t="s">
        <v>43</v>
      </c>
      <c r="F11" s="17" t="s">
        <v>44</v>
      </c>
      <c r="G11" s="20" t="s">
        <v>268</v>
      </c>
      <c r="H11" s="46" t="s">
        <v>57</v>
      </c>
      <c r="I11" s="19" t="s">
        <v>254</v>
      </c>
      <c r="J11" s="19"/>
      <c r="K11" s="47" t="str">
        <f>"55,0"</f>
        <v>55,0</v>
      </c>
      <c r="L11" s="22" t="str">
        <f>"50,5670"</f>
        <v>50,5670</v>
      </c>
      <c r="M11" s="17" t="s">
        <v>139</v>
      </c>
      <c r="N11" s="3" t="s">
        <v>450</v>
      </c>
    </row>
    <row r="12" spans="1:14" x14ac:dyDescent="0.2">
      <c r="A12" s="29" t="s">
        <v>276</v>
      </c>
      <c r="B12" s="29" t="s">
        <v>277</v>
      </c>
      <c r="C12" s="29" t="s">
        <v>278</v>
      </c>
      <c r="D12" s="30" t="str">
        <f>"0,9229"</f>
        <v>0,9229</v>
      </c>
      <c r="E12" s="29" t="s">
        <v>27</v>
      </c>
      <c r="F12" s="29" t="s">
        <v>105</v>
      </c>
      <c r="G12" s="31" t="s">
        <v>31</v>
      </c>
      <c r="H12" s="31" t="s">
        <v>33</v>
      </c>
      <c r="I12" s="31" t="s">
        <v>55</v>
      </c>
      <c r="J12" s="32"/>
      <c r="K12" s="33" t="str">
        <f>"45,0"</f>
        <v>45,0</v>
      </c>
      <c r="L12" s="34" t="str">
        <f>"41,5283"</f>
        <v>41,5283</v>
      </c>
      <c r="M12" s="29" t="s">
        <v>38</v>
      </c>
    </row>
    <row r="13" spans="1:14" x14ac:dyDescent="0.2">
      <c r="A13" s="29" t="s">
        <v>280</v>
      </c>
      <c r="B13" s="29" t="s">
        <v>281</v>
      </c>
      <c r="C13" s="29" t="s">
        <v>282</v>
      </c>
      <c r="D13" s="30" t="str">
        <f>"0,9470"</f>
        <v>0,9470</v>
      </c>
      <c r="E13" s="29" t="s">
        <v>27</v>
      </c>
      <c r="F13" s="29" t="s">
        <v>105</v>
      </c>
      <c r="G13" s="31" t="s">
        <v>31</v>
      </c>
      <c r="H13" s="31" t="s">
        <v>32</v>
      </c>
      <c r="I13" s="32" t="s">
        <v>67</v>
      </c>
      <c r="J13" s="32"/>
      <c r="K13" s="33" t="str">
        <f>"37,5"</f>
        <v>37,5</v>
      </c>
      <c r="L13" s="34" t="str">
        <f>"35,5106"</f>
        <v>35,5106</v>
      </c>
      <c r="M13" s="29" t="s">
        <v>38</v>
      </c>
    </row>
    <row r="14" spans="1:14" x14ac:dyDescent="0.2">
      <c r="A14" s="23" t="s">
        <v>78</v>
      </c>
      <c r="B14" s="23" t="s">
        <v>79</v>
      </c>
      <c r="C14" s="23" t="s">
        <v>80</v>
      </c>
      <c r="D14" s="24" t="str">
        <f>"0,9187"</f>
        <v>0,9187</v>
      </c>
      <c r="E14" s="23" t="s">
        <v>54</v>
      </c>
      <c r="F14" s="23" t="s">
        <v>28</v>
      </c>
      <c r="G14" s="26" t="s">
        <v>30</v>
      </c>
      <c r="H14" s="26" t="s">
        <v>46</v>
      </c>
      <c r="I14" s="51" t="s">
        <v>68</v>
      </c>
      <c r="J14" s="26"/>
      <c r="K14" s="57" t="str">
        <f>"70,0"</f>
        <v>70,0</v>
      </c>
      <c r="L14" s="28" t="str">
        <f>"77,4280"</f>
        <v>77,4280</v>
      </c>
      <c r="M14" s="23" t="s">
        <v>61</v>
      </c>
      <c r="N14" s="3" t="s">
        <v>451</v>
      </c>
    </row>
    <row r="16" spans="1:14" ht="15" x14ac:dyDescent="0.2">
      <c r="A16" s="78" t="s">
        <v>100</v>
      </c>
      <c r="B16" s="78"/>
      <c r="C16" s="78"/>
      <c r="D16" s="79"/>
      <c r="E16" s="78"/>
      <c r="F16" s="78"/>
      <c r="G16" s="78"/>
      <c r="H16" s="78"/>
      <c r="I16" s="78"/>
      <c r="J16" s="78"/>
    </row>
    <row r="17" spans="1:14" x14ac:dyDescent="0.2">
      <c r="A17" s="17" t="s">
        <v>284</v>
      </c>
      <c r="B17" s="17" t="s">
        <v>285</v>
      </c>
      <c r="C17" s="17" t="s">
        <v>286</v>
      </c>
      <c r="D17" s="18" t="str">
        <f>"0,7627"</f>
        <v>0,7627</v>
      </c>
      <c r="E17" s="17" t="s">
        <v>232</v>
      </c>
      <c r="F17" s="17" t="s">
        <v>28</v>
      </c>
      <c r="G17" s="20" t="s">
        <v>55</v>
      </c>
      <c r="H17" s="19" t="s">
        <v>268</v>
      </c>
      <c r="I17" s="19" t="s">
        <v>268</v>
      </c>
      <c r="J17" s="19"/>
      <c r="K17" s="21" t="str">
        <f>"45,0"</f>
        <v>45,0</v>
      </c>
      <c r="L17" s="22" t="str">
        <f>"34,3215"</f>
        <v>34,3215</v>
      </c>
      <c r="M17" s="17" t="s">
        <v>269</v>
      </c>
    </row>
    <row r="18" spans="1:14" x14ac:dyDescent="0.2">
      <c r="A18" s="23" t="s">
        <v>288</v>
      </c>
      <c r="B18" s="23" t="s">
        <v>289</v>
      </c>
      <c r="C18" s="23" t="s">
        <v>290</v>
      </c>
      <c r="D18" s="24" t="str">
        <f>"0,7329"</f>
        <v>0,7329</v>
      </c>
      <c r="E18" s="23" t="s">
        <v>163</v>
      </c>
      <c r="F18" s="23" t="s">
        <v>44</v>
      </c>
      <c r="G18" s="26" t="s">
        <v>69</v>
      </c>
      <c r="H18" s="25" t="s">
        <v>125</v>
      </c>
      <c r="I18" s="55" t="s">
        <v>125</v>
      </c>
      <c r="J18" s="25"/>
      <c r="K18" s="56" t="str">
        <f>"82,5"</f>
        <v>82,5</v>
      </c>
      <c r="L18" s="28" t="str">
        <f>"64,6363"</f>
        <v>64,6363</v>
      </c>
      <c r="M18" s="23" t="s">
        <v>164</v>
      </c>
      <c r="N18" s="3" t="s">
        <v>450</v>
      </c>
    </row>
    <row r="20" spans="1:14" ht="15" x14ac:dyDescent="0.2">
      <c r="A20" s="78" t="s">
        <v>91</v>
      </c>
      <c r="B20" s="78"/>
      <c r="C20" s="78"/>
      <c r="D20" s="79"/>
      <c r="E20" s="78"/>
      <c r="F20" s="78"/>
      <c r="G20" s="78"/>
      <c r="H20" s="78"/>
      <c r="I20" s="78"/>
      <c r="J20" s="78"/>
    </row>
    <row r="21" spans="1:14" x14ac:dyDescent="0.2">
      <c r="A21" s="11" t="s">
        <v>292</v>
      </c>
      <c r="B21" s="11" t="s">
        <v>293</v>
      </c>
      <c r="C21" s="11" t="s">
        <v>294</v>
      </c>
      <c r="D21" s="12" t="str">
        <f>"0,7258"</f>
        <v>0,7258</v>
      </c>
      <c r="E21" s="11" t="s">
        <v>232</v>
      </c>
      <c r="F21" s="11" t="s">
        <v>295</v>
      </c>
      <c r="G21" s="14" t="s">
        <v>76</v>
      </c>
      <c r="H21" s="14" t="s">
        <v>76</v>
      </c>
      <c r="I21" s="13" t="s">
        <v>76</v>
      </c>
      <c r="J21" s="14"/>
      <c r="K21" s="15" t="str">
        <f>"100,0"</f>
        <v>100,0</v>
      </c>
      <c r="L21" s="16" t="str">
        <f>"72,5800"</f>
        <v>72,5800</v>
      </c>
      <c r="M21" s="11" t="s">
        <v>139</v>
      </c>
    </row>
    <row r="23" spans="1:14" ht="15" x14ac:dyDescent="0.2">
      <c r="A23" s="78" t="s">
        <v>100</v>
      </c>
      <c r="B23" s="78"/>
      <c r="C23" s="78"/>
      <c r="D23" s="79"/>
      <c r="E23" s="78"/>
      <c r="F23" s="78"/>
      <c r="G23" s="78"/>
      <c r="H23" s="78"/>
      <c r="I23" s="78"/>
      <c r="J23" s="78"/>
    </row>
    <row r="24" spans="1:14" x14ac:dyDescent="0.2">
      <c r="A24" s="11" t="s">
        <v>130</v>
      </c>
      <c r="B24" s="11" t="s">
        <v>131</v>
      </c>
      <c r="C24" s="11" t="s">
        <v>132</v>
      </c>
      <c r="D24" s="12" t="str">
        <f>"0,6662"</f>
        <v>0,6662</v>
      </c>
      <c r="E24" s="11" t="s">
        <v>133</v>
      </c>
      <c r="F24" s="11" t="s">
        <v>134</v>
      </c>
      <c r="G24" s="13" t="s">
        <v>114</v>
      </c>
      <c r="H24" s="44" t="s">
        <v>115</v>
      </c>
      <c r="I24" s="14"/>
      <c r="J24" s="14"/>
      <c r="K24" s="45" t="str">
        <f>"150,0"</f>
        <v>150,0</v>
      </c>
      <c r="L24" s="16" t="str">
        <f>"99,9375"</f>
        <v>99,9375</v>
      </c>
      <c r="M24" s="11" t="s">
        <v>139</v>
      </c>
      <c r="N24" s="3" t="s">
        <v>450</v>
      </c>
    </row>
    <row r="26" spans="1:14" ht="15" x14ac:dyDescent="0.2">
      <c r="A26" s="78" t="s">
        <v>140</v>
      </c>
      <c r="B26" s="78"/>
      <c r="C26" s="78"/>
      <c r="D26" s="79"/>
      <c r="E26" s="78"/>
      <c r="F26" s="78"/>
      <c r="G26" s="78"/>
      <c r="H26" s="78"/>
      <c r="I26" s="78"/>
      <c r="J26" s="78"/>
    </row>
    <row r="27" spans="1:14" x14ac:dyDescent="0.2">
      <c r="A27" s="17" t="s">
        <v>297</v>
      </c>
      <c r="B27" s="17" t="s">
        <v>298</v>
      </c>
      <c r="C27" s="17" t="s">
        <v>299</v>
      </c>
      <c r="D27" s="18" t="str">
        <f>"0,6222"</f>
        <v>0,6222</v>
      </c>
      <c r="E27" s="17" t="s">
        <v>232</v>
      </c>
      <c r="F27" s="17" t="s">
        <v>105</v>
      </c>
      <c r="G27" s="20" t="s">
        <v>114</v>
      </c>
      <c r="H27" s="46" t="s">
        <v>300</v>
      </c>
      <c r="I27" s="19" t="s">
        <v>115</v>
      </c>
      <c r="J27" s="19"/>
      <c r="K27" s="47" t="str">
        <f>"147,5"</f>
        <v>147,5</v>
      </c>
      <c r="L27" s="22" t="str">
        <f>"91,7671"</f>
        <v>91,7671</v>
      </c>
      <c r="M27" s="17" t="s">
        <v>139</v>
      </c>
      <c r="N27" s="3" t="s">
        <v>450</v>
      </c>
    </row>
    <row r="28" spans="1:14" x14ac:dyDescent="0.2">
      <c r="A28" s="29" t="s">
        <v>302</v>
      </c>
      <c r="B28" s="29" t="s">
        <v>303</v>
      </c>
      <c r="C28" s="29" t="s">
        <v>304</v>
      </c>
      <c r="D28" s="30" t="str">
        <f>"0,6238"</f>
        <v>0,6238</v>
      </c>
      <c r="E28" s="29" t="s">
        <v>232</v>
      </c>
      <c r="F28" s="29" t="s">
        <v>28</v>
      </c>
      <c r="G28" s="31" t="s">
        <v>145</v>
      </c>
      <c r="H28" s="31" t="s">
        <v>305</v>
      </c>
      <c r="I28" s="32" t="s">
        <v>90</v>
      </c>
      <c r="J28" s="32"/>
      <c r="K28" s="33" t="str">
        <f>"122,5"</f>
        <v>122,5</v>
      </c>
      <c r="L28" s="34" t="str">
        <f>"76,4155"</f>
        <v>76,4155</v>
      </c>
      <c r="M28" s="29" t="s">
        <v>139</v>
      </c>
    </row>
    <row r="29" spans="1:14" x14ac:dyDescent="0.2">
      <c r="A29" s="23" t="s">
        <v>307</v>
      </c>
      <c r="B29" s="23" t="s">
        <v>308</v>
      </c>
      <c r="C29" s="23" t="s">
        <v>309</v>
      </c>
      <c r="D29" s="24" t="str">
        <f>"0,6248"</f>
        <v>0,6248</v>
      </c>
      <c r="E29" s="23" t="s">
        <v>96</v>
      </c>
      <c r="F29" s="23" t="s">
        <v>28</v>
      </c>
      <c r="G29" s="26" t="s">
        <v>76</v>
      </c>
      <c r="H29" s="26" t="s">
        <v>59</v>
      </c>
      <c r="I29" s="26" t="s">
        <v>45</v>
      </c>
      <c r="J29" s="25"/>
      <c r="K29" s="27" t="str">
        <f>"110,0"</f>
        <v>110,0</v>
      </c>
      <c r="L29" s="28" t="str">
        <f>"68,7335"</f>
        <v>68,7335</v>
      </c>
      <c r="M29" s="23" t="s">
        <v>99</v>
      </c>
    </row>
    <row r="31" spans="1:14" ht="15" x14ac:dyDescent="0.2">
      <c r="A31" s="78" t="s">
        <v>146</v>
      </c>
      <c r="B31" s="78"/>
      <c r="C31" s="78"/>
      <c r="D31" s="79"/>
      <c r="E31" s="78"/>
      <c r="F31" s="78"/>
      <c r="G31" s="78"/>
      <c r="H31" s="78"/>
      <c r="I31" s="78"/>
      <c r="J31" s="78"/>
    </row>
    <row r="32" spans="1:14" x14ac:dyDescent="0.2">
      <c r="A32" s="17" t="s">
        <v>311</v>
      </c>
      <c r="B32" s="17" t="s">
        <v>312</v>
      </c>
      <c r="C32" s="17" t="s">
        <v>313</v>
      </c>
      <c r="D32" s="18" t="str">
        <f>"0,5935"</f>
        <v>0,5935</v>
      </c>
      <c r="E32" s="17" t="s">
        <v>96</v>
      </c>
      <c r="F32" s="17" t="s">
        <v>28</v>
      </c>
      <c r="G32" s="20" t="s">
        <v>123</v>
      </c>
      <c r="H32" s="20" t="s">
        <v>115</v>
      </c>
      <c r="I32" s="46" t="s">
        <v>314</v>
      </c>
      <c r="J32" s="19" t="s">
        <v>126</v>
      </c>
      <c r="K32" s="47" t="str">
        <f>"155,0"</f>
        <v>155,0</v>
      </c>
      <c r="L32" s="22" t="str">
        <f>"92,9124"</f>
        <v>92,9124</v>
      </c>
      <c r="M32" s="17" t="s">
        <v>99</v>
      </c>
      <c r="N32" s="3" t="s">
        <v>450</v>
      </c>
    </row>
    <row r="33" spans="1:14" x14ac:dyDescent="0.2">
      <c r="A33" s="29" t="s">
        <v>317</v>
      </c>
      <c r="B33" s="29" t="s">
        <v>318</v>
      </c>
      <c r="C33" s="29" t="s">
        <v>319</v>
      </c>
      <c r="D33" s="30" t="str">
        <f>"0,5889"</f>
        <v>0,5889</v>
      </c>
      <c r="E33" s="29" t="s">
        <v>96</v>
      </c>
      <c r="F33" s="29" t="s">
        <v>28</v>
      </c>
      <c r="G33" s="31" t="s">
        <v>123</v>
      </c>
      <c r="H33" s="31" t="s">
        <v>115</v>
      </c>
      <c r="I33" s="31" t="s">
        <v>314</v>
      </c>
      <c r="J33" s="32"/>
      <c r="K33" s="33" t="str">
        <f>"155,0"</f>
        <v>155,0</v>
      </c>
      <c r="L33" s="34" t="str">
        <f>"91,2795"</f>
        <v>91,2795</v>
      </c>
      <c r="M33" s="29" t="s">
        <v>99</v>
      </c>
    </row>
    <row r="34" spans="1:14" x14ac:dyDescent="0.2">
      <c r="A34" s="29" t="s">
        <v>321</v>
      </c>
      <c r="B34" s="29" t="s">
        <v>322</v>
      </c>
      <c r="C34" s="29" t="s">
        <v>323</v>
      </c>
      <c r="D34" s="30" t="str">
        <f>"0,5910"</f>
        <v>0,5910</v>
      </c>
      <c r="E34" s="29" t="s">
        <v>133</v>
      </c>
      <c r="F34" s="29" t="s">
        <v>324</v>
      </c>
      <c r="G34" s="31" t="s">
        <v>325</v>
      </c>
      <c r="H34" s="32" t="s">
        <v>326</v>
      </c>
      <c r="I34" s="31" t="s">
        <v>326</v>
      </c>
      <c r="J34" s="32"/>
      <c r="K34" s="33" t="str">
        <f>"152,5"</f>
        <v>152,5</v>
      </c>
      <c r="L34" s="34" t="str">
        <f>"90,1275"</f>
        <v>90,1275</v>
      </c>
      <c r="M34" s="29" t="s">
        <v>139</v>
      </c>
    </row>
    <row r="35" spans="1:14" x14ac:dyDescent="0.2">
      <c r="A35" s="23" t="s">
        <v>327</v>
      </c>
      <c r="B35" s="23" t="s">
        <v>161</v>
      </c>
      <c r="C35" s="23" t="s">
        <v>162</v>
      </c>
      <c r="D35" s="24" t="str">
        <f>"0,5885"</f>
        <v>0,5885</v>
      </c>
      <c r="E35" s="23" t="s">
        <v>163</v>
      </c>
      <c r="F35" s="23" t="s">
        <v>44</v>
      </c>
      <c r="G35" s="55" t="s">
        <v>90</v>
      </c>
      <c r="H35" s="25" t="s">
        <v>88</v>
      </c>
      <c r="I35" s="25" t="s">
        <v>88</v>
      </c>
      <c r="J35" s="25"/>
      <c r="K35" s="56" t="str">
        <f>"130,0"</f>
        <v>130,0</v>
      </c>
      <c r="L35" s="28" t="str">
        <f>"77,8821"</f>
        <v>77,8821</v>
      </c>
      <c r="M35" s="23" t="s">
        <v>164</v>
      </c>
      <c r="N35" s="3" t="s">
        <v>450</v>
      </c>
    </row>
    <row r="37" spans="1:14" ht="15" x14ac:dyDescent="0.2">
      <c r="A37" s="78" t="s">
        <v>328</v>
      </c>
      <c r="B37" s="78"/>
      <c r="C37" s="78"/>
      <c r="D37" s="79"/>
      <c r="E37" s="78"/>
      <c r="F37" s="78"/>
      <c r="G37" s="78"/>
      <c r="H37" s="78"/>
      <c r="I37" s="78"/>
      <c r="J37" s="78"/>
    </row>
    <row r="38" spans="1:14" x14ac:dyDescent="0.2">
      <c r="A38" s="11" t="s">
        <v>330</v>
      </c>
      <c r="B38" s="11" t="s">
        <v>331</v>
      </c>
      <c r="C38" s="11" t="s">
        <v>332</v>
      </c>
      <c r="D38" s="12" t="str">
        <f>"0,5551"</f>
        <v>0,5551</v>
      </c>
      <c r="E38" s="11" t="s">
        <v>43</v>
      </c>
      <c r="F38" s="11" t="s">
        <v>44</v>
      </c>
      <c r="G38" s="44" t="s">
        <v>155</v>
      </c>
      <c r="H38" s="14" t="s">
        <v>156</v>
      </c>
      <c r="I38" s="13" t="s">
        <v>156</v>
      </c>
      <c r="J38" s="14"/>
      <c r="K38" s="45" t="str">
        <f>"180,0"</f>
        <v>180,0</v>
      </c>
      <c r="L38" s="16" t="str">
        <f>"99,9270"</f>
        <v>99,9270</v>
      </c>
      <c r="M38" s="11" t="s">
        <v>49</v>
      </c>
      <c r="N38" s="3" t="s">
        <v>450</v>
      </c>
    </row>
    <row r="40" spans="1:14" ht="15" x14ac:dyDescent="0.2">
      <c r="A40" s="78" t="s">
        <v>165</v>
      </c>
      <c r="B40" s="78"/>
      <c r="C40" s="78"/>
      <c r="D40" s="79"/>
      <c r="E40" s="78"/>
      <c r="F40" s="78"/>
      <c r="G40" s="78"/>
      <c r="H40" s="78"/>
      <c r="I40" s="78"/>
      <c r="J40" s="78"/>
    </row>
    <row r="41" spans="1:14" x14ac:dyDescent="0.2">
      <c r="A41" s="11" t="s">
        <v>167</v>
      </c>
      <c r="B41" s="11" t="s">
        <v>168</v>
      </c>
      <c r="C41" s="11" t="s">
        <v>169</v>
      </c>
      <c r="D41" s="12" t="str">
        <f>"0,5472"</f>
        <v>0,5472</v>
      </c>
      <c r="E41" s="11" t="s">
        <v>43</v>
      </c>
      <c r="F41" s="11" t="s">
        <v>44</v>
      </c>
      <c r="G41" s="13" t="s">
        <v>155</v>
      </c>
      <c r="H41" s="44" t="s">
        <v>136</v>
      </c>
      <c r="I41" s="14"/>
      <c r="J41" s="14"/>
      <c r="K41" s="45" t="str">
        <f>"195,0"</f>
        <v>195,0</v>
      </c>
      <c r="L41" s="16" t="str">
        <f>"106,7040"</f>
        <v>106,7040</v>
      </c>
      <c r="M41" s="11" t="s">
        <v>49</v>
      </c>
      <c r="N41" s="3" t="s">
        <v>450</v>
      </c>
    </row>
    <row r="43" spans="1:14" ht="15" x14ac:dyDescent="0.2">
      <c r="A43" s="78" t="s">
        <v>333</v>
      </c>
      <c r="B43" s="78"/>
      <c r="C43" s="78"/>
      <c r="D43" s="79"/>
      <c r="E43" s="78"/>
      <c r="F43" s="78"/>
      <c r="G43" s="78"/>
      <c r="H43" s="78"/>
      <c r="I43" s="78"/>
      <c r="J43" s="78"/>
    </row>
    <row r="44" spans="1:14" x14ac:dyDescent="0.2">
      <c r="A44" s="11" t="s">
        <v>335</v>
      </c>
      <c r="B44" s="11" t="s">
        <v>336</v>
      </c>
      <c r="C44" s="11" t="s">
        <v>337</v>
      </c>
      <c r="D44" s="12" t="str">
        <f>"0,5292"</f>
        <v>0,5292</v>
      </c>
      <c r="E44" s="11" t="s">
        <v>43</v>
      </c>
      <c r="F44" s="11" t="s">
        <v>44</v>
      </c>
      <c r="G44" s="13" t="s">
        <v>155</v>
      </c>
      <c r="H44" s="13" t="s">
        <v>156</v>
      </c>
      <c r="I44" s="44" t="s">
        <v>135</v>
      </c>
      <c r="J44" s="14"/>
      <c r="K44" s="45" t="str">
        <f>"185,0"</f>
        <v>185,0</v>
      </c>
      <c r="L44" s="16" t="str">
        <f>"97,9020"</f>
        <v>97,9020</v>
      </c>
      <c r="M44" s="11" t="s">
        <v>49</v>
      </c>
      <c r="N44" s="3" t="s">
        <v>450</v>
      </c>
    </row>
    <row r="46" spans="1:14" ht="15" x14ac:dyDescent="0.2">
      <c r="E46" s="9" t="s">
        <v>11</v>
      </c>
    </row>
    <row r="47" spans="1:14" ht="15" x14ac:dyDescent="0.2">
      <c r="E47" s="9" t="s">
        <v>12</v>
      </c>
    </row>
    <row r="48" spans="1:14" ht="15" x14ac:dyDescent="0.2">
      <c r="E48" s="9" t="s">
        <v>13</v>
      </c>
    </row>
    <row r="49" spans="1:5" ht="15" x14ac:dyDescent="0.2">
      <c r="E49" s="9" t="s">
        <v>14</v>
      </c>
    </row>
    <row r="50" spans="1:5" ht="15" x14ac:dyDescent="0.2">
      <c r="E50" s="9" t="s">
        <v>14</v>
      </c>
    </row>
    <row r="51" spans="1:5" ht="15" x14ac:dyDescent="0.2">
      <c r="E51" s="9" t="s">
        <v>15</v>
      </c>
    </row>
    <row r="52" spans="1:5" ht="15" x14ac:dyDescent="0.2">
      <c r="E52" s="9"/>
    </row>
    <row r="54" spans="1:5" ht="18" x14ac:dyDescent="0.25">
      <c r="A54" s="10" t="s">
        <v>16</v>
      </c>
      <c r="B54" s="10"/>
    </row>
    <row r="55" spans="1:5" ht="15" x14ac:dyDescent="0.2">
      <c r="A55" s="35" t="s">
        <v>195</v>
      </c>
      <c r="B55" s="35"/>
    </row>
    <row r="56" spans="1:5" ht="14.25" x14ac:dyDescent="0.2">
      <c r="A56" s="37"/>
      <c r="B56" s="38" t="s">
        <v>206</v>
      </c>
    </row>
    <row r="57" spans="1:5" ht="15" x14ac:dyDescent="0.2">
      <c r="A57" s="39" t="s">
        <v>197</v>
      </c>
      <c r="B57" s="39" t="s">
        <v>198</v>
      </c>
      <c r="C57" s="39" t="s">
        <v>199</v>
      </c>
      <c r="D57" s="40" t="s">
        <v>247</v>
      </c>
      <c r="E57" s="39" t="s">
        <v>201</v>
      </c>
    </row>
    <row r="58" spans="1:5" x14ac:dyDescent="0.2">
      <c r="A58" s="36" t="s">
        <v>39</v>
      </c>
      <c r="B58" s="4" t="s">
        <v>206</v>
      </c>
      <c r="C58" s="4" t="s">
        <v>208</v>
      </c>
      <c r="D58" s="41">
        <v>65</v>
      </c>
      <c r="E58" s="42">
        <v>63.504999876022303</v>
      </c>
    </row>
    <row r="59" spans="1:5" x14ac:dyDescent="0.2">
      <c r="A59" s="36" t="s">
        <v>271</v>
      </c>
      <c r="B59" s="4" t="s">
        <v>206</v>
      </c>
      <c r="C59" s="4" t="s">
        <v>203</v>
      </c>
      <c r="D59" s="41">
        <v>55</v>
      </c>
      <c r="E59" s="42">
        <v>50.566998720169103</v>
      </c>
    </row>
    <row r="60" spans="1:5" x14ac:dyDescent="0.2">
      <c r="A60" s="36" t="s">
        <v>264</v>
      </c>
      <c r="B60" s="4" t="s">
        <v>206</v>
      </c>
      <c r="C60" s="4" t="s">
        <v>208</v>
      </c>
      <c r="D60" s="41">
        <v>45</v>
      </c>
      <c r="E60" s="42">
        <v>43.654499351978302</v>
      </c>
    </row>
    <row r="61" spans="1:5" x14ac:dyDescent="0.2">
      <c r="A61" s="36" t="s">
        <v>275</v>
      </c>
      <c r="B61" s="4" t="s">
        <v>206</v>
      </c>
      <c r="C61" s="4" t="s">
        <v>203</v>
      </c>
      <c r="D61" s="41">
        <v>45</v>
      </c>
      <c r="E61" s="42">
        <v>41.528250575065599</v>
      </c>
    </row>
    <row r="62" spans="1:5" x14ac:dyDescent="0.2">
      <c r="A62" s="36" t="s">
        <v>279</v>
      </c>
      <c r="B62" s="4" t="s">
        <v>206</v>
      </c>
      <c r="C62" s="4" t="s">
        <v>203</v>
      </c>
      <c r="D62" s="41">
        <v>37.5</v>
      </c>
      <c r="E62" s="42">
        <v>35.510625690221801</v>
      </c>
    </row>
    <row r="63" spans="1:5" x14ac:dyDescent="0.2">
      <c r="A63" s="36" t="s">
        <v>283</v>
      </c>
      <c r="B63" s="4" t="s">
        <v>206</v>
      </c>
      <c r="C63" s="4" t="s">
        <v>212</v>
      </c>
      <c r="D63" s="41">
        <v>45</v>
      </c>
      <c r="E63" s="42">
        <v>34.321500957012198</v>
      </c>
    </row>
    <row r="65" spans="1:5" ht="14.25" x14ac:dyDescent="0.2">
      <c r="A65" s="37"/>
      <c r="B65" s="38" t="s">
        <v>209</v>
      </c>
    </row>
    <row r="66" spans="1:5" ht="15" x14ac:dyDescent="0.2">
      <c r="A66" s="39" t="s">
        <v>197</v>
      </c>
      <c r="B66" s="39" t="s">
        <v>198</v>
      </c>
      <c r="C66" s="39" t="s">
        <v>199</v>
      </c>
      <c r="D66" s="40" t="s">
        <v>247</v>
      </c>
      <c r="E66" s="39" t="s">
        <v>201</v>
      </c>
    </row>
    <row r="67" spans="1:5" x14ac:dyDescent="0.2">
      <c r="A67" s="36" t="s">
        <v>77</v>
      </c>
      <c r="B67" s="4" t="s">
        <v>210</v>
      </c>
      <c r="C67" s="4" t="s">
        <v>203</v>
      </c>
      <c r="D67" s="41">
        <v>70</v>
      </c>
      <c r="E67" s="42">
        <v>77.428034296035804</v>
      </c>
    </row>
    <row r="68" spans="1:5" x14ac:dyDescent="0.2">
      <c r="A68" s="36" t="s">
        <v>287</v>
      </c>
      <c r="B68" s="4" t="s">
        <v>338</v>
      </c>
      <c r="C68" s="4" t="s">
        <v>212</v>
      </c>
      <c r="D68" s="41">
        <v>82.5</v>
      </c>
      <c r="E68" s="42">
        <v>64.636285319030307</v>
      </c>
    </row>
    <row r="69" spans="1:5" x14ac:dyDescent="0.2">
      <c r="A69" s="36" t="s">
        <v>50</v>
      </c>
      <c r="B69" s="4" t="s">
        <v>211</v>
      </c>
      <c r="C69" s="4" t="s">
        <v>208</v>
      </c>
      <c r="D69" s="41">
        <v>50</v>
      </c>
      <c r="E69" s="42">
        <v>48.617500066757202</v>
      </c>
    </row>
    <row r="72" spans="1:5" ht="15" x14ac:dyDescent="0.2">
      <c r="A72" s="35" t="s">
        <v>213</v>
      </c>
      <c r="B72" s="35"/>
    </row>
    <row r="73" spans="1:5" ht="14.25" x14ac:dyDescent="0.2">
      <c r="A73" s="37"/>
      <c r="B73" s="38" t="s">
        <v>339</v>
      </c>
    </row>
    <row r="74" spans="1:5" ht="15" x14ac:dyDescent="0.2">
      <c r="A74" s="39" t="s">
        <v>197</v>
      </c>
      <c r="B74" s="39" t="s">
        <v>198</v>
      </c>
      <c r="C74" s="39" t="s">
        <v>199</v>
      </c>
      <c r="D74" s="40" t="s">
        <v>247</v>
      </c>
      <c r="E74" s="39" t="s">
        <v>201</v>
      </c>
    </row>
    <row r="75" spans="1:5" x14ac:dyDescent="0.2">
      <c r="A75" s="36" t="s">
        <v>310</v>
      </c>
      <c r="B75" s="4" t="s">
        <v>340</v>
      </c>
      <c r="C75" s="4" t="s">
        <v>218</v>
      </c>
      <c r="D75" s="41">
        <v>155</v>
      </c>
      <c r="E75" s="42">
        <v>92.912427836656605</v>
      </c>
    </row>
    <row r="77" spans="1:5" ht="14.25" x14ac:dyDescent="0.2">
      <c r="A77" s="37"/>
      <c r="B77" s="38" t="s">
        <v>206</v>
      </c>
    </row>
    <row r="78" spans="1:5" ht="15" x14ac:dyDescent="0.2">
      <c r="A78" s="39" t="s">
        <v>197</v>
      </c>
      <c r="B78" s="39" t="s">
        <v>198</v>
      </c>
      <c r="C78" s="39" t="s">
        <v>199</v>
      </c>
      <c r="D78" s="40" t="s">
        <v>247</v>
      </c>
      <c r="E78" s="39" t="s">
        <v>201</v>
      </c>
    </row>
    <row r="79" spans="1:5" x14ac:dyDescent="0.2">
      <c r="A79" s="36" t="s">
        <v>166</v>
      </c>
      <c r="B79" s="4" t="s">
        <v>206</v>
      </c>
      <c r="C79" s="4" t="s">
        <v>217</v>
      </c>
      <c r="D79" s="41">
        <v>195</v>
      </c>
      <c r="E79" s="42">
        <v>106.704004704952</v>
      </c>
    </row>
    <row r="80" spans="1:5" x14ac:dyDescent="0.2">
      <c r="A80" s="36" t="s">
        <v>129</v>
      </c>
      <c r="B80" s="4" t="s">
        <v>206</v>
      </c>
      <c r="C80" s="4" t="s">
        <v>212</v>
      </c>
      <c r="D80" s="41">
        <v>150</v>
      </c>
      <c r="E80" s="42">
        <v>99.937498569488497</v>
      </c>
    </row>
    <row r="81" spans="1:5" x14ac:dyDescent="0.2">
      <c r="A81" s="36" t="s">
        <v>329</v>
      </c>
      <c r="B81" s="4" t="s">
        <v>206</v>
      </c>
      <c r="C81" s="4" t="s">
        <v>341</v>
      </c>
      <c r="D81" s="41">
        <v>180</v>
      </c>
      <c r="E81" s="42">
        <v>99.926995038986206</v>
      </c>
    </row>
    <row r="82" spans="1:5" x14ac:dyDescent="0.2">
      <c r="A82" s="36" t="s">
        <v>334</v>
      </c>
      <c r="B82" s="4" t="s">
        <v>206</v>
      </c>
      <c r="C82" s="4" t="s">
        <v>342</v>
      </c>
      <c r="D82" s="41">
        <v>185</v>
      </c>
      <c r="E82" s="42">
        <v>97.902003228664398</v>
      </c>
    </row>
    <row r="83" spans="1:5" x14ac:dyDescent="0.2">
      <c r="A83" s="36" t="s">
        <v>296</v>
      </c>
      <c r="B83" s="4" t="s">
        <v>206</v>
      </c>
      <c r="C83" s="4" t="s">
        <v>216</v>
      </c>
      <c r="D83" s="41">
        <v>147.5</v>
      </c>
      <c r="E83" s="42">
        <v>91.7671255767345</v>
      </c>
    </row>
    <row r="84" spans="1:5" x14ac:dyDescent="0.2">
      <c r="A84" s="36" t="s">
        <v>316</v>
      </c>
      <c r="B84" s="4" t="s">
        <v>206</v>
      </c>
      <c r="C84" s="4" t="s">
        <v>218</v>
      </c>
      <c r="D84" s="41">
        <v>155</v>
      </c>
      <c r="E84" s="42">
        <v>91.279504597187</v>
      </c>
    </row>
    <row r="85" spans="1:5" x14ac:dyDescent="0.2">
      <c r="A85" s="36" t="s">
        <v>320</v>
      </c>
      <c r="B85" s="4" t="s">
        <v>206</v>
      </c>
      <c r="C85" s="4" t="s">
        <v>218</v>
      </c>
      <c r="D85" s="41">
        <v>152.5</v>
      </c>
      <c r="E85" s="42">
        <v>90.127503126859693</v>
      </c>
    </row>
    <row r="86" spans="1:5" x14ac:dyDescent="0.2">
      <c r="A86" s="36" t="s">
        <v>301</v>
      </c>
      <c r="B86" s="4" t="s">
        <v>206</v>
      </c>
      <c r="C86" s="4" t="s">
        <v>216</v>
      </c>
      <c r="D86" s="41">
        <v>122.5</v>
      </c>
      <c r="E86" s="42">
        <v>76.415497511625304</v>
      </c>
    </row>
    <row r="87" spans="1:5" x14ac:dyDescent="0.2">
      <c r="A87" s="36" t="s">
        <v>291</v>
      </c>
      <c r="B87" s="4" t="s">
        <v>206</v>
      </c>
      <c r="C87" s="4" t="s">
        <v>205</v>
      </c>
      <c r="D87" s="41">
        <v>100</v>
      </c>
      <c r="E87" s="42">
        <v>72.5799977779388</v>
      </c>
    </row>
    <row r="88" spans="1:5" x14ac:dyDescent="0.2">
      <c r="A88" s="36" t="s">
        <v>306</v>
      </c>
      <c r="B88" s="4" t="s">
        <v>206</v>
      </c>
      <c r="C88" s="4" t="s">
        <v>216</v>
      </c>
      <c r="D88" s="41">
        <v>110</v>
      </c>
      <c r="E88" s="42">
        <v>68.733497262000995</v>
      </c>
    </row>
    <row r="90" spans="1:5" ht="14.25" x14ac:dyDescent="0.2">
      <c r="A90" s="37"/>
      <c r="B90" s="38" t="s">
        <v>209</v>
      </c>
    </row>
    <row r="91" spans="1:5" ht="15" x14ac:dyDescent="0.2">
      <c r="A91" s="39" t="s">
        <v>197</v>
      </c>
      <c r="B91" s="39" t="s">
        <v>198</v>
      </c>
      <c r="C91" s="39" t="s">
        <v>199</v>
      </c>
      <c r="D91" s="40" t="s">
        <v>247</v>
      </c>
      <c r="E91" s="39" t="s">
        <v>201</v>
      </c>
    </row>
    <row r="92" spans="1:5" x14ac:dyDescent="0.2">
      <c r="A92" s="36" t="s">
        <v>159</v>
      </c>
      <c r="B92" s="4" t="s">
        <v>211</v>
      </c>
      <c r="C92" s="4" t="s">
        <v>218</v>
      </c>
      <c r="D92" s="41">
        <v>130</v>
      </c>
      <c r="E92" s="42">
        <v>77.882093029022201</v>
      </c>
    </row>
  </sheetData>
  <mergeCells count="21">
    <mergeCell ref="A37:J37"/>
    <mergeCell ref="A40:J40"/>
    <mergeCell ref="A43:J43"/>
    <mergeCell ref="A10:J10"/>
    <mergeCell ref="A16:J16"/>
    <mergeCell ref="A20:J20"/>
    <mergeCell ref="A23:J23"/>
    <mergeCell ref="A26:J26"/>
    <mergeCell ref="A31:J3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G1" workbookViewId="0">
      <selection activeCell="M15" sqref="M15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31.85546875" style="4" bestFit="1" customWidth="1"/>
    <col min="14" max="16384" width="9.140625" style="3"/>
  </cols>
  <sheetData>
    <row r="1" spans="1:14" s="2" customFormat="1" ht="29.1" customHeight="1" x14ac:dyDescent="0.2">
      <c r="A1" s="62" t="s">
        <v>249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62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251</v>
      </c>
      <c r="B6" s="11" t="s">
        <v>252</v>
      </c>
      <c r="C6" s="11" t="s">
        <v>253</v>
      </c>
      <c r="D6" s="12" t="str">
        <f>"0,9064"</f>
        <v>0,9064</v>
      </c>
      <c r="E6" s="11" t="s">
        <v>232</v>
      </c>
      <c r="F6" s="11" t="s">
        <v>28</v>
      </c>
      <c r="G6" s="13" t="s">
        <v>56</v>
      </c>
      <c r="H6" s="13" t="s">
        <v>254</v>
      </c>
      <c r="I6" s="44" t="s">
        <v>29</v>
      </c>
      <c r="J6" s="14"/>
      <c r="K6" s="45" t="str">
        <f>"60,0"</f>
        <v>60,0</v>
      </c>
      <c r="L6" s="16" t="str">
        <f>"56,5562"</f>
        <v>56,5562</v>
      </c>
      <c r="M6" s="11" t="s">
        <v>255</v>
      </c>
      <c r="N6" s="3" t="s">
        <v>450</v>
      </c>
    </row>
    <row r="8" spans="1:14" ht="15" x14ac:dyDescent="0.2">
      <c r="A8" s="78" t="s">
        <v>91</v>
      </c>
      <c r="B8" s="78"/>
      <c r="C8" s="78"/>
      <c r="D8" s="79"/>
      <c r="E8" s="78"/>
      <c r="F8" s="78"/>
      <c r="G8" s="78"/>
      <c r="H8" s="78"/>
      <c r="I8" s="78"/>
      <c r="J8" s="78"/>
    </row>
    <row r="9" spans="1:14" x14ac:dyDescent="0.2">
      <c r="A9" s="11" t="s">
        <v>257</v>
      </c>
      <c r="B9" s="11" t="s">
        <v>258</v>
      </c>
      <c r="C9" s="11" t="s">
        <v>259</v>
      </c>
      <c r="D9" s="12" t="str">
        <f>"0,7342"</f>
        <v>0,7342</v>
      </c>
      <c r="E9" s="11" t="s">
        <v>260</v>
      </c>
      <c r="F9" s="11" t="s">
        <v>28</v>
      </c>
      <c r="G9" s="13" t="s">
        <v>76</v>
      </c>
      <c r="H9" s="13" t="s">
        <v>261</v>
      </c>
      <c r="I9" s="44" t="s">
        <v>59</v>
      </c>
      <c r="J9" s="14"/>
      <c r="K9" s="45" t="str">
        <f>"105,0"</f>
        <v>105,0</v>
      </c>
      <c r="L9" s="16" t="str">
        <f>"77,0910"</f>
        <v>77,0910</v>
      </c>
      <c r="M9" s="11" t="s">
        <v>255</v>
      </c>
      <c r="N9" s="3" t="s">
        <v>450</v>
      </c>
    </row>
    <row r="11" spans="1:14" ht="15" x14ac:dyDescent="0.2">
      <c r="E11" s="9" t="s">
        <v>11</v>
      </c>
    </row>
    <row r="12" spans="1:14" ht="15" x14ac:dyDescent="0.2">
      <c r="E12" s="9" t="s">
        <v>12</v>
      </c>
    </row>
    <row r="13" spans="1:14" ht="15" x14ac:dyDescent="0.2">
      <c r="E13" s="9" t="s">
        <v>13</v>
      </c>
    </row>
    <row r="14" spans="1:14" ht="15" x14ac:dyDescent="0.2">
      <c r="E14" s="9" t="s">
        <v>14</v>
      </c>
    </row>
    <row r="15" spans="1:14" ht="15" x14ac:dyDescent="0.2">
      <c r="E15" s="9" t="s">
        <v>14</v>
      </c>
    </row>
    <row r="16" spans="1:14" ht="15" x14ac:dyDescent="0.2">
      <c r="E16" s="9" t="s">
        <v>15</v>
      </c>
    </row>
    <row r="17" spans="1:5" ht="15" x14ac:dyDescent="0.2">
      <c r="E17" s="9"/>
    </row>
    <row r="19" spans="1:5" ht="18" x14ac:dyDescent="0.25">
      <c r="A19" s="10" t="s">
        <v>16</v>
      </c>
      <c r="B19" s="10"/>
    </row>
    <row r="20" spans="1:5" ht="15" x14ac:dyDescent="0.2">
      <c r="A20" s="35" t="s">
        <v>213</v>
      </c>
      <c r="B20" s="35"/>
    </row>
    <row r="21" spans="1:5" ht="14.25" x14ac:dyDescent="0.2">
      <c r="A21" s="37"/>
      <c r="B21" s="38" t="s">
        <v>214</v>
      </c>
    </row>
    <row r="22" spans="1:5" ht="15" x14ac:dyDescent="0.2">
      <c r="A22" s="39" t="s">
        <v>197</v>
      </c>
      <c r="B22" s="39" t="s">
        <v>198</v>
      </c>
      <c r="C22" s="39" t="s">
        <v>199</v>
      </c>
      <c r="D22" s="40" t="s">
        <v>247</v>
      </c>
      <c r="E22" s="39" t="s">
        <v>201</v>
      </c>
    </row>
    <row r="23" spans="1:5" x14ac:dyDescent="0.2">
      <c r="A23" s="36" t="s">
        <v>250</v>
      </c>
      <c r="B23" s="4" t="s">
        <v>215</v>
      </c>
      <c r="C23" s="4" t="s">
        <v>203</v>
      </c>
      <c r="D23" s="41">
        <v>60</v>
      </c>
      <c r="E23" s="42">
        <v>56.556241035461397</v>
      </c>
    </row>
    <row r="25" spans="1:5" ht="14.25" x14ac:dyDescent="0.2">
      <c r="A25" s="37"/>
      <c r="B25" s="38" t="s">
        <v>206</v>
      </c>
    </row>
    <row r="26" spans="1:5" ht="15" x14ac:dyDescent="0.2">
      <c r="A26" s="39" t="s">
        <v>197</v>
      </c>
      <c r="B26" s="39" t="s">
        <v>198</v>
      </c>
      <c r="C26" s="39" t="s">
        <v>199</v>
      </c>
      <c r="D26" s="40" t="s">
        <v>247</v>
      </c>
      <c r="E26" s="39" t="s">
        <v>201</v>
      </c>
    </row>
    <row r="27" spans="1:5" x14ac:dyDescent="0.2">
      <c r="A27" s="36" t="s">
        <v>256</v>
      </c>
      <c r="B27" s="4" t="s">
        <v>206</v>
      </c>
      <c r="C27" s="4" t="s">
        <v>205</v>
      </c>
      <c r="D27" s="41">
        <v>105</v>
      </c>
      <c r="E27" s="42">
        <v>77.0910000801086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16.42578125" style="4" bestFit="1" customWidth="1"/>
    <col min="14" max="16384" width="9.140625" style="3"/>
  </cols>
  <sheetData>
    <row r="1" spans="1:14" s="2" customFormat="1" ht="29.1" customHeight="1" x14ac:dyDescent="0.2">
      <c r="A1" s="62" t="s">
        <v>242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91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244</v>
      </c>
      <c r="B6" s="11" t="s">
        <v>245</v>
      </c>
      <c r="C6" s="11" t="s">
        <v>246</v>
      </c>
      <c r="D6" s="12" t="str">
        <f>"0,7653"</f>
        <v>0,7653</v>
      </c>
      <c r="E6" s="11" t="s">
        <v>43</v>
      </c>
      <c r="F6" s="11" t="s">
        <v>44</v>
      </c>
      <c r="G6" s="44" t="s">
        <v>76</v>
      </c>
      <c r="H6" s="14" t="s">
        <v>45</v>
      </c>
      <c r="I6" s="14" t="s">
        <v>45</v>
      </c>
      <c r="J6" s="14"/>
      <c r="K6" s="45" t="str">
        <f>"100,0"</f>
        <v>100,0</v>
      </c>
      <c r="L6" s="16" t="str">
        <f>"76,5300"</f>
        <v>76,5300</v>
      </c>
      <c r="M6" s="11" t="s">
        <v>49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206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243</v>
      </c>
      <c r="B20" s="4" t="s">
        <v>206</v>
      </c>
      <c r="C20" s="4" t="s">
        <v>205</v>
      </c>
      <c r="D20" s="41">
        <v>100</v>
      </c>
      <c r="E20" s="42">
        <v>76.529997587203994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16" sqref="L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7" width="5.5703125" style="3" customWidth="1"/>
    <col min="8" max="8" width="10.42578125" style="3" customWidth="1"/>
    <col min="9" max="9" width="7.85546875" style="6" bestFit="1" customWidth="1"/>
    <col min="10" max="10" width="9.5703125" style="7" bestFit="1" customWidth="1"/>
    <col min="11" max="11" width="16.42578125" style="4" bestFit="1" customWidth="1"/>
    <col min="12" max="16384" width="9.140625" style="3"/>
  </cols>
  <sheetData>
    <row r="1" spans="1:11" s="2" customFormat="1" ht="29.1" customHeight="1" x14ac:dyDescent="0.2">
      <c r="A1" s="62" t="s">
        <v>447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456</v>
      </c>
      <c r="E3" s="74" t="s">
        <v>4</v>
      </c>
      <c r="F3" s="74" t="s">
        <v>7</v>
      </c>
      <c r="G3" s="74" t="s">
        <v>452</v>
      </c>
      <c r="H3" s="74"/>
      <c r="I3" s="72" t="s">
        <v>454</v>
      </c>
      <c r="J3" s="72" t="s">
        <v>3</v>
      </c>
      <c r="K3" s="75" t="s">
        <v>2</v>
      </c>
    </row>
    <row r="4" spans="1:11" s="1" customFormat="1" ht="21" customHeight="1" thickBot="1" x14ac:dyDescent="0.25">
      <c r="A4" s="69"/>
      <c r="B4" s="71"/>
      <c r="C4" s="71"/>
      <c r="D4" s="73"/>
      <c r="E4" s="71"/>
      <c r="F4" s="71"/>
      <c r="G4" s="43" t="s">
        <v>8</v>
      </c>
      <c r="H4" s="43" t="s">
        <v>9</v>
      </c>
      <c r="I4" s="73"/>
      <c r="J4" s="73"/>
      <c r="K4" s="76"/>
    </row>
    <row r="5" spans="1:11" ht="15" x14ac:dyDescent="0.2">
      <c r="A5" s="60" t="s">
        <v>453</v>
      </c>
      <c r="B5" s="77"/>
      <c r="C5" s="77"/>
      <c r="D5" s="77"/>
      <c r="E5" s="77"/>
      <c r="F5" s="77"/>
      <c r="G5" s="77"/>
      <c r="H5" s="77"/>
    </row>
    <row r="6" spans="1:11" x14ac:dyDescent="0.2">
      <c r="A6" s="11" t="s">
        <v>72</v>
      </c>
      <c r="B6" s="11" t="s">
        <v>73</v>
      </c>
      <c r="C6" s="11" t="s">
        <v>66</v>
      </c>
      <c r="D6" s="11" t="str">
        <f>"1,0000"</f>
        <v>1,0000</v>
      </c>
      <c r="E6" s="11" t="s">
        <v>54</v>
      </c>
      <c r="F6" s="11" t="s">
        <v>28</v>
      </c>
      <c r="G6" s="13" t="s">
        <v>69</v>
      </c>
      <c r="H6" s="59">
        <v>27</v>
      </c>
      <c r="I6" s="41">
        <v>2025</v>
      </c>
      <c r="J6" s="16">
        <v>36.751300000000001</v>
      </c>
      <c r="K6" s="11" t="s">
        <v>457</v>
      </c>
    </row>
    <row r="7" spans="1:11" x14ac:dyDescent="0.2">
      <c r="A7" s="11" t="s">
        <v>367</v>
      </c>
      <c r="B7" s="11" t="s">
        <v>368</v>
      </c>
      <c r="C7" s="11" t="s">
        <v>369</v>
      </c>
      <c r="D7" s="11" t="str">
        <f>"1,0000"</f>
        <v>1,0000</v>
      </c>
      <c r="E7" s="11" t="s">
        <v>96</v>
      </c>
      <c r="F7" s="11" t="s">
        <v>28</v>
      </c>
      <c r="G7" s="13" t="s">
        <v>69</v>
      </c>
      <c r="H7" s="59">
        <v>27</v>
      </c>
      <c r="I7" s="41">
        <v>2025</v>
      </c>
      <c r="J7" s="16">
        <v>27.3279</v>
      </c>
      <c r="K7" s="11" t="s">
        <v>455</v>
      </c>
    </row>
    <row r="9" spans="1:11" ht="15" x14ac:dyDescent="0.2">
      <c r="E9" s="9" t="s">
        <v>11</v>
      </c>
    </row>
    <row r="10" spans="1:11" ht="15" x14ac:dyDescent="0.2">
      <c r="E10" s="9" t="s">
        <v>12</v>
      </c>
    </row>
    <row r="11" spans="1:11" ht="15" x14ac:dyDescent="0.2">
      <c r="E11" s="9" t="s">
        <v>13</v>
      </c>
    </row>
    <row r="12" spans="1:11" ht="15" x14ac:dyDescent="0.2">
      <c r="E12" s="9" t="s">
        <v>14</v>
      </c>
    </row>
    <row r="13" spans="1:11" ht="15" x14ac:dyDescent="0.2">
      <c r="E13" s="9" t="s">
        <v>14</v>
      </c>
    </row>
    <row r="14" spans="1:11" ht="15" x14ac:dyDescent="0.2">
      <c r="E14" s="9" t="s">
        <v>15</v>
      </c>
    </row>
    <row r="15" spans="1:11" ht="15" x14ac:dyDescent="0.2">
      <c r="E15" s="9"/>
    </row>
    <row r="17" spans="1:5" ht="18" x14ac:dyDescent="0.25">
      <c r="A17" s="10" t="s">
        <v>16</v>
      </c>
      <c r="B17" s="10"/>
    </row>
    <row r="18" spans="1:5" ht="15" x14ac:dyDescent="0.2">
      <c r="A18" s="35" t="s">
        <v>458</v>
      </c>
      <c r="B18" s="35"/>
    </row>
    <row r="19" spans="1:5" ht="14.25" x14ac:dyDescent="0.2">
      <c r="A19" s="37"/>
      <c r="B19" s="38" t="s">
        <v>460</v>
      </c>
    </row>
    <row r="20" spans="1:5" ht="15" x14ac:dyDescent="0.2">
      <c r="A20" s="39" t="s">
        <v>197</v>
      </c>
      <c r="B20" s="39" t="s">
        <v>198</v>
      </c>
      <c r="C20" s="39" t="s">
        <v>199</v>
      </c>
      <c r="D20" s="40" t="s">
        <v>247</v>
      </c>
      <c r="E20" s="39" t="s">
        <v>456</v>
      </c>
    </row>
    <row r="21" spans="1:5" x14ac:dyDescent="0.2">
      <c r="A21" s="36" t="s">
        <v>71</v>
      </c>
      <c r="B21" s="4" t="s">
        <v>460</v>
      </c>
      <c r="C21" s="4" t="s">
        <v>459</v>
      </c>
      <c r="D21" s="41">
        <v>2025</v>
      </c>
      <c r="E21" s="16">
        <v>36.751300000000001</v>
      </c>
    </row>
    <row r="26" spans="1:5" x14ac:dyDescent="0.2">
      <c r="E26" s="59"/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D1" workbookViewId="0">
      <selection activeCell="V6" sqref="V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6" bestFit="1" customWidth="1"/>
    <col min="20" max="20" width="8.5703125" style="7" bestFit="1" customWidth="1"/>
    <col min="21" max="21" width="16.42578125" style="4" bestFit="1" customWidth="1"/>
    <col min="22" max="16384" width="9.140625" style="3"/>
  </cols>
  <sheetData>
    <row r="1" spans="1:22" s="2" customFormat="1" ht="29.1" customHeight="1" x14ac:dyDescent="0.2">
      <c r="A1" s="62" t="s">
        <v>220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2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2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19</v>
      </c>
      <c r="H3" s="74"/>
      <c r="I3" s="74"/>
      <c r="J3" s="74"/>
      <c r="K3" s="74" t="s">
        <v>20</v>
      </c>
      <c r="L3" s="74"/>
      <c r="M3" s="74"/>
      <c r="N3" s="74"/>
      <c r="O3" s="74" t="s">
        <v>21</v>
      </c>
      <c r="P3" s="74"/>
      <c r="Q3" s="74"/>
      <c r="R3" s="74"/>
      <c r="S3" s="72" t="s">
        <v>1</v>
      </c>
      <c r="T3" s="72" t="s">
        <v>3</v>
      </c>
      <c r="U3" s="75" t="s">
        <v>2</v>
      </c>
    </row>
    <row r="4" spans="1:22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8">
        <v>1</v>
      </c>
      <c r="L4" s="8">
        <v>2</v>
      </c>
      <c r="M4" s="8">
        <v>3</v>
      </c>
      <c r="N4" s="8" t="s">
        <v>5</v>
      </c>
      <c r="O4" s="8">
        <v>1</v>
      </c>
      <c r="P4" s="8">
        <v>2</v>
      </c>
      <c r="Q4" s="8">
        <v>3</v>
      </c>
      <c r="R4" s="8" t="s">
        <v>5</v>
      </c>
      <c r="S4" s="73"/>
      <c r="T4" s="73"/>
      <c r="U4" s="76"/>
    </row>
    <row r="5" spans="1:22" ht="15" x14ac:dyDescent="0.2">
      <c r="A5" s="60" t="s">
        <v>140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2" x14ac:dyDescent="0.2">
      <c r="A6" s="17" t="s">
        <v>222</v>
      </c>
      <c r="B6" s="17" t="s">
        <v>223</v>
      </c>
      <c r="C6" s="17" t="s">
        <v>224</v>
      </c>
      <c r="D6" s="18" t="str">
        <f>"0,6257"</f>
        <v>0,6257</v>
      </c>
      <c r="E6" s="17" t="s">
        <v>133</v>
      </c>
      <c r="F6" s="17" t="s">
        <v>225</v>
      </c>
      <c r="G6" s="20" t="s">
        <v>137</v>
      </c>
      <c r="H6" s="46" t="s">
        <v>226</v>
      </c>
      <c r="I6" s="19"/>
      <c r="J6" s="19"/>
      <c r="K6" s="20" t="s">
        <v>145</v>
      </c>
      <c r="L6" s="46" t="s">
        <v>47</v>
      </c>
      <c r="M6" s="19"/>
      <c r="N6" s="19"/>
      <c r="O6" s="20" t="s">
        <v>157</v>
      </c>
      <c r="P6" s="46" t="s">
        <v>181</v>
      </c>
      <c r="Q6" s="19" t="s">
        <v>182</v>
      </c>
      <c r="R6" s="19"/>
      <c r="S6" s="47" t="str">
        <f>"562,5"</f>
        <v>562,5</v>
      </c>
      <c r="T6" s="22" t="str">
        <f>"351,9562"</f>
        <v>351,9562</v>
      </c>
      <c r="U6" s="17" t="s">
        <v>139</v>
      </c>
      <c r="V6" s="3" t="s">
        <v>450</v>
      </c>
    </row>
    <row r="7" spans="1:22" x14ac:dyDescent="0.2">
      <c r="A7" s="23" t="s">
        <v>222</v>
      </c>
      <c r="B7" s="23" t="s">
        <v>227</v>
      </c>
      <c r="C7" s="23" t="s">
        <v>224</v>
      </c>
      <c r="D7" s="24" t="str">
        <f>"0,6257"</f>
        <v>0,6257</v>
      </c>
      <c r="E7" s="23" t="s">
        <v>133</v>
      </c>
      <c r="F7" s="23" t="s">
        <v>225</v>
      </c>
      <c r="G7" s="26" t="s">
        <v>137</v>
      </c>
      <c r="H7" s="55" t="s">
        <v>226</v>
      </c>
      <c r="I7" s="25"/>
      <c r="J7" s="25"/>
      <c r="K7" s="26" t="s">
        <v>145</v>
      </c>
      <c r="L7" s="55" t="s">
        <v>47</v>
      </c>
      <c r="M7" s="25"/>
      <c r="N7" s="25"/>
      <c r="O7" s="26" t="s">
        <v>157</v>
      </c>
      <c r="P7" s="55" t="s">
        <v>181</v>
      </c>
      <c r="Q7" s="25" t="s">
        <v>182</v>
      </c>
      <c r="R7" s="25"/>
      <c r="S7" s="56" t="str">
        <f>"562,5"</f>
        <v>562,5</v>
      </c>
      <c r="T7" s="28" t="str">
        <f>"520,8952"</f>
        <v>520,8952</v>
      </c>
      <c r="U7" s="23" t="s">
        <v>139</v>
      </c>
      <c r="V7" s="3" t="s">
        <v>450</v>
      </c>
    </row>
    <row r="9" spans="1:22" ht="15" x14ac:dyDescent="0.2">
      <c r="A9" s="78" t="s">
        <v>146</v>
      </c>
      <c r="B9" s="78"/>
      <c r="C9" s="78"/>
      <c r="D9" s="79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</row>
    <row r="10" spans="1:22" x14ac:dyDescent="0.2">
      <c r="A10" s="11" t="s">
        <v>229</v>
      </c>
      <c r="B10" s="11" t="s">
        <v>230</v>
      </c>
      <c r="C10" s="11" t="s">
        <v>231</v>
      </c>
      <c r="D10" s="12" t="str">
        <f>"0,5871"</f>
        <v>0,5871</v>
      </c>
      <c r="E10" s="11" t="s">
        <v>232</v>
      </c>
      <c r="F10" s="11" t="s">
        <v>28</v>
      </c>
      <c r="G10" s="13" t="s">
        <v>156</v>
      </c>
      <c r="H10" s="53" t="s">
        <v>137</v>
      </c>
      <c r="I10" s="14" t="s">
        <v>116</v>
      </c>
      <c r="J10" s="14"/>
      <c r="K10" s="13" t="s">
        <v>35</v>
      </c>
      <c r="L10" s="14" t="s">
        <v>75</v>
      </c>
      <c r="M10" s="13" t="s">
        <v>75</v>
      </c>
      <c r="N10" s="14"/>
      <c r="O10" s="13" t="s">
        <v>233</v>
      </c>
      <c r="P10" s="53" t="s">
        <v>157</v>
      </c>
      <c r="Q10" s="14"/>
      <c r="R10" s="14"/>
      <c r="S10" s="54" t="str">
        <f>"515,0"</f>
        <v>515,0</v>
      </c>
      <c r="T10" s="16" t="str">
        <f>"623,4591"</f>
        <v>623,4591</v>
      </c>
      <c r="U10" s="11" t="s">
        <v>139</v>
      </c>
      <c r="V10" s="3" t="s">
        <v>451</v>
      </c>
    </row>
    <row r="12" spans="1:22" ht="15" x14ac:dyDescent="0.2">
      <c r="A12" s="78" t="s">
        <v>165</v>
      </c>
      <c r="B12" s="78"/>
      <c r="C12" s="78"/>
      <c r="D12" s="79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22" x14ac:dyDescent="0.2">
      <c r="A13" s="11" t="s">
        <v>235</v>
      </c>
      <c r="B13" s="11" t="s">
        <v>236</v>
      </c>
      <c r="C13" s="11" t="s">
        <v>237</v>
      </c>
      <c r="D13" s="12" t="str">
        <f>"0,5480"</f>
        <v>0,5480</v>
      </c>
      <c r="E13" s="11" t="s">
        <v>43</v>
      </c>
      <c r="F13" s="11" t="s">
        <v>44</v>
      </c>
      <c r="G13" s="13" t="s">
        <v>116</v>
      </c>
      <c r="H13" s="13" t="s">
        <v>178</v>
      </c>
      <c r="I13" s="14" t="s">
        <v>233</v>
      </c>
      <c r="J13" s="14"/>
      <c r="K13" s="13" t="s">
        <v>126</v>
      </c>
      <c r="L13" s="14" t="s">
        <v>238</v>
      </c>
      <c r="M13" s="14" t="s">
        <v>238</v>
      </c>
      <c r="N13" s="14"/>
      <c r="O13" s="13" t="s">
        <v>158</v>
      </c>
      <c r="P13" s="13" t="s">
        <v>239</v>
      </c>
      <c r="Q13" s="13" t="s">
        <v>192</v>
      </c>
      <c r="R13" s="14"/>
      <c r="S13" s="15" t="str">
        <f>"635,0"</f>
        <v>635,0</v>
      </c>
      <c r="T13" s="16" t="str">
        <f>"347,9800"</f>
        <v>347,9800</v>
      </c>
      <c r="U13" s="11" t="s">
        <v>49</v>
      </c>
    </row>
    <row r="15" spans="1:22" ht="15" x14ac:dyDescent="0.2">
      <c r="E15" s="9" t="s">
        <v>11</v>
      </c>
    </row>
    <row r="16" spans="1:22" ht="15" x14ac:dyDescent="0.2">
      <c r="E16" s="9" t="s">
        <v>12</v>
      </c>
    </row>
    <row r="17" spans="1:5" ht="15" x14ac:dyDescent="0.2">
      <c r="E17" s="9" t="s">
        <v>13</v>
      </c>
    </row>
    <row r="18" spans="1:5" ht="15" x14ac:dyDescent="0.2">
      <c r="E18" s="9" t="s">
        <v>14</v>
      </c>
    </row>
    <row r="19" spans="1:5" ht="15" x14ac:dyDescent="0.2">
      <c r="E19" s="9" t="s">
        <v>14</v>
      </c>
    </row>
    <row r="20" spans="1:5" ht="15" x14ac:dyDescent="0.2">
      <c r="E20" s="9" t="s">
        <v>15</v>
      </c>
    </row>
    <row r="21" spans="1:5" ht="15" x14ac:dyDescent="0.2">
      <c r="E21" s="9"/>
    </row>
    <row r="23" spans="1:5" ht="18" x14ac:dyDescent="0.25">
      <c r="A23" s="10" t="s">
        <v>16</v>
      </c>
      <c r="B23" s="10"/>
    </row>
    <row r="24" spans="1:5" ht="15" x14ac:dyDescent="0.2">
      <c r="A24" s="35" t="s">
        <v>213</v>
      </c>
      <c r="B24" s="35"/>
    </row>
    <row r="25" spans="1:5" ht="14.25" x14ac:dyDescent="0.2">
      <c r="A25" s="37"/>
      <c r="B25" s="38" t="s">
        <v>206</v>
      </c>
    </row>
    <row r="26" spans="1:5" ht="15" x14ac:dyDescent="0.2">
      <c r="A26" s="39" t="s">
        <v>197</v>
      </c>
      <c r="B26" s="39" t="s">
        <v>198</v>
      </c>
      <c r="C26" s="39" t="s">
        <v>199</v>
      </c>
      <c r="D26" s="40" t="s">
        <v>200</v>
      </c>
      <c r="E26" s="39" t="s">
        <v>201</v>
      </c>
    </row>
    <row r="27" spans="1:5" x14ac:dyDescent="0.2">
      <c r="A27" s="36" t="s">
        <v>221</v>
      </c>
      <c r="B27" s="4" t="s">
        <v>206</v>
      </c>
      <c r="C27" s="4" t="s">
        <v>216</v>
      </c>
      <c r="D27" s="41">
        <v>562.5</v>
      </c>
      <c r="E27" s="42">
        <v>351.956248283386</v>
      </c>
    </row>
    <row r="28" spans="1:5" x14ac:dyDescent="0.2">
      <c r="A28" s="36" t="s">
        <v>234</v>
      </c>
      <c r="B28" s="4" t="s">
        <v>206</v>
      </c>
      <c r="C28" s="4" t="s">
        <v>217</v>
      </c>
      <c r="D28" s="41">
        <v>635</v>
      </c>
      <c r="E28" s="42">
        <v>347.97998607158701</v>
      </c>
    </row>
    <row r="30" spans="1:5" ht="14.25" x14ac:dyDescent="0.2">
      <c r="A30" s="37"/>
      <c r="B30" s="38" t="s">
        <v>209</v>
      </c>
    </row>
    <row r="31" spans="1:5" ht="15" x14ac:dyDescent="0.2">
      <c r="A31" s="39" t="s">
        <v>197</v>
      </c>
      <c r="B31" s="39" t="s">
        <v>198</v>
      </c>
      <c r="C31" s="39" t="s">
        <v>199</v>
      </c>
      <c r="D31" s="40" t="s">
        <v>200</v>
      </c>
      <c r="E31" s="39" t="s">
        <v>201</v>
      </c>
    </row>
    <row r="32" spans="1:5" x14ac:dyDescent="0.2">
      <c r="A32" s="36" t="s">
        <v>228</v>
      </c>
      <c r="B32" s="4" t="s">
        <v>240</v>
      </c>
      <c r="C32" s="4" t="s">
        <v>218</v>
      </c>
      <c r="D32" s="41">
        <v>515</v>
      </c>
      <c r="E32" s="42">
        <v>623.459133787155</v>
      </c>
    </row>
    <row r="33" spans="1:5" x14ac:dyDescent="0.2">
      <c r="A33" s="36" t="s">
        <v>221</v>
      </c>
      <c r="B33" s="4" t="s">
        <v>241</v>
      </c>
      <c r="C33" s="4" t="s">
        <v>216</v>
      </c>
      <c r="D33" s="41">
        <v>562.5</v>
      </c>
      <c r="E33" s="42">
        <v>520.89524745941196</v>
      </c>
    </row>
  </sheetData>
  <mergeCells count="16">
    <mergeCell ref="A9:R9"/>
    <mergeCell ref="A12:R12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workbookViewId="0">
      <selection activeCell="A14" sqref="A14:F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6" bestFit="1" customWidth="1"/>
    <col min="20" max="20" width="8.5703125" style="7" bestFit="1" customWidth="1"/>
    <col min="21" max="21" width="31.28515625" style="4" bestFit="1" customWidth="1"/>
    <col min="22" max="16384" width="9.140625" style="3"/>
  </cols>
  <sheetData>
    <row r="1" spans="1:22" s="2" customFormat="1" ht="29.1" customHeight="1" x14ac:dyDescent="0.2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2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2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19</v>
      </c>
      <c r="H3" s="74"/>
      <c r="I3" s="74"/>
      <c r="J3" s="74"/>
      <c r="K3" s="74" t="s">
        <v>20</v>
      </c>
      <c r="L3" s="74"/>
      <c r="M3" s="74"/>
      <c r="N3" s="74"/>
      <c r="O3" s="74" t="s">
        <v>21</v>
      </c>
      <c r="P3" s="74"/>
      <c r="Q3" s="74"/>
      <c r="R3" s="74"/>
      <c r="S3" s="72" t="s">
        <v>1</v>
      </c>
      <c r="T3" s="72" t="s">
        <v>3</v>
      </c>
      <c r="U3" s="75" t="s">
        <v>2</v>
      </c>
    </row>
    <row r="4" spans="1:22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8">
        <v>1</v>
      </c>
      <c r="L4" s="8">
        <v>2</v>
      </c>
      <c r="M4" s="8">
        <v>3</v>
      </c>
      <c r="N4" s="8" t="s">
        <v>5</v>
      </c>
      <c r="O4" s="8">
        <v>1</v>
      </c>
      <c r="P4" s="8">
        <v>2</v>
      </c>
      <c r="Q4" s="8">
        <v>3</v>
      </c>
      <c r="R4" s="8" t="s">
        <v>5</v>
      </c>
      <c r="S4" s="73"/>
      <c r="T4" s="73"/>
      <c r="U4" s="76"/>
    </row>
    <row r="5" spans="1:22" ht="15" x14ac:dyDescent="0.2">
      <c r="A5" s="60" t="s">
        <v>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2" x14ac:dyDescent="0.2">
      <c r="A6" s="11" t="s">
        <v>24</v>
      </c>
      <c r="B6" s="11" t="s">
        <v>25</v>
      </c>
      <c r="C6" s="11" t="s">
        <v>26</v>
      </c>
      <c r="D6" s="12" t="str">
        <f>"0,9679"</f>
        <v>0,9679</v>
      </c>
      <c r="E6" s="11" t="s">
        <v>27</v>
      </c>
      <c r="F6" s="11" t="s">
        <v>28</v>
      </c>
      <c r="G6" s="13" t="s">
        <v>29</v>
      </c>
      <c r="H6" s="14" t="s">
        <v>30</v>
      </c>
      <c r="I6" s="44" t="s">
        <v>30</v>
      </c>
      <c r="J6" s="14"/>
      <c r="K6" s="13" t="s">
        <v>31</v>
      </c>
      <c r="L6" s="44" t="s">
        <v>32</v>
      </c>
      <c r="M6" s="14" t="s">
        <v>33</v>
      </c>
      <c r="N6" s="14"/>
      <c r="O6" s="13" t="s">
        <v>34</v>
      </c>
      <c r="P6" s="13" t="s">
        <v>35</v>
      </c>
      <c r="Q6" s="44" t="s">
        <v>36</v>
      </c>
      <c r="R6" s="14"/>
      <c r="S6" s="45" t="str">
        <f>"195,0"</f>
        <v>195,0</v>
      </c>
      <c r="T6" s="16" t="str">
        <f>"188,7308"</f>
        <v>188,7308</v>
      </c>
      <c r="U6" s="11" t="s">
        <v>38</v>
      </c>
      <c r="V6" s="3" t="s">
        <v>450</v>
      </c>
    </row>
    <row r="8" spans="1:22" ht="15" x14ac:dyDescent="0.2">
      <c r="A8" s="78" t="s">
        <v>22</v>
      </c>
      <c r="B8" s="78"/>
      <c r="C8" s="78"/>
      <c r="D8" s="79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22" x14ac:dyDescent="0.2">
      <c r="A9" s="17" t="s">
        <v>40</v>
      </c>
      <c r="B9" s="17" t="s">
        <v>41</v>
      </c>
      <c r="C9" s="17" t="s">
        <v>42</v>
      </c>
      <c r="D9" s="18" t="str">
        <f>"0,9770"</f>
        <v>0,9770</v>
      </c>
      <c r="E9" s="17" t="s">
        <v>43</v>
      </c>
      <c r="F9" s="17" t="s">
        <v>44</v>
      </c>
      <c r="G9" s="19" t="s">
        <v>45</v>
      </c>
      <c r="H9" s="19" t="s">
        <v>45</v>
      </c>
      <c r="I9" s="19" t="s">
        <v>45</v>
      </c>
      <c r="J9" s="19"/>
      <c r="K9" s="20" t="s">
        <v>29</v>
      </c>
      <c r="L9" s="20" t="s">
        <v>30</v>
      </c>
      <c r="M9" s="19" t="s">
        <v>46</v>
      </c>
      <c r="N9" s="19"/>
      <c r="O9" s="20" t="s">
        <v>45</v>
      </c>
      <c r="P9" s="20" t="s">
        <v>47</v>
      </c>
      <c r="Q9" s="20" t="s">
        <v>48</v>
      </c>
      <c r="R9" s="19"/>
      <c r="S9" s="21" t="str">
        <f>"0.00"</f>
        <v>0.00</v>
      </c>
      <c r="T9" s="22" t="str">
        <f>"0,0000"</f>
        <v>0,0000</v>
      </c>
      <c r="U9" s="17" t="s">
        <v>49</v>
      </c>
    </row>
    <row r="10" spans="1:22" x14ac:dyDescent="0.2">
      <c r="A10" s="23" t="s">
        <v>51</v>
      </c>
      <c r="B10" s="23" t="s">
        <v>52</v>
      </c>
      <c r="C10" s="23" t="s">
        <v>53</v>
      </c>
      <c r="D10" s="24" t="str">
        <f>"0,9724"</f>
        <v>0,9724</v>
      </c>
      <c r="E10" s="23" t="s">
        <v>54</v>
      </c>
      <c r="F10" s="23" t="s">
        <v>28</v>
      </c>
      <c r="G10" s="25" t="s">
        <v>34</v>
      </c>
      <c r="H10" s="25" t="s">
        <v>34</v>
      </c>
      <c r="I10" s="25" t="s">
        <v>34</v>
      </c>
      <c r="J10" s="25"/>
      <c r="K10" s="26" t="s">
        <v>55</v>
      </c>
      <c r="L10" s="26" t="s">
        <v>56</v>
      </c>
      <c r="M10" s="25" t="s">
        <v>57</v>
      </c>
      <c r="N10" s="25"/>
      <c r="O10" s="26" t="s">
        <v>58</v>
      </c>
      <c r="P10" s="26" t="s">
        <v>59</v>
      </c>
      <c r="Q10" s="26" t="s">
        <v>60</v>
      </c>
      <c r="R10" s="25"/>
      <c r="S10" s="27" t="str">
        <f>"0.00"</f>
        <v>0.00</v>
      </c>
      <c r="T10" s="28" t="str">
        <f>"0,0000"</f>
        <v>0,0000</v>
      </c>
      <c r="U10" s="23" t="s">
        <v>61</v>
      </c>
    </row>
    <row r="12" spans="1:22" ht="15" x14ac:dyDescent="0.2">
      <c r="A12" s="78" t="s">
        <v>62</v>
      </c>
      <c r="B12" s="78"/>
      <c r="C12" s="78"/>
      <c r="D12" s="79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22" x14ac:dyDescent="0.2">
      <c r="A13" s="17" t="s">
        <v>64</v>
      </c>
      <c r="B13" s="17" t="s">
        <v>65</v>
      </c>
      <c r="C13" s="17" t="s">
        <v>66</v>
      </c>
      <c r="D13" s="18" t="str">
        <f>"0,9242"</f>
        <v>0,9242</v>
      </c>
      <c r="E13" s="17" t="s">
        <v>43</v>
      </c>
      <c r="F13" s="17" t="s">
        <v>44</v>
      </c>
      <c r="G13" s="20" t="s">
        <v>56</v>
      </c>
      <c r="H13" s="20" t="s">
        <v>57</v>
      </c>
      <c r="I13" s="46" t="s">
        <v>29</v>
      </c>
      <c r="J13" s="19"/>
      <c r="K13" s="46" t="s">
        <v>32</v>
      </c>
      <c r="L13" s="19" t="s">
        <v>33</v>
      </c>
      <c r="M13" s="19" t="s">
        <v>67</v>
      </c>
      <c r="N13" s="19"/>
      <c r="O13" s="20" t="s">
        <v>68</v>
      </c>
      <c r="P13" s="20" t="s">
        <v>69</v>
      </c>
      <c r="Q13" s="46" t="s">
        <v>34</v>
      </c>
      <c r="R13" s="19"/>
      <c r="S13" s="47" t="str">
        <f>"177,5"</f>
        <v>177,5</v>
      </c>
      <c r="T13" s="22" t="str">
        <f>"201,7760"</f>
        <v>201,7760</v>
      </c>
      <c r="U13" s="17" t="s">
        <v>70</v>
      </c>
      <c r="V13" s="3" t="s">
        <v>450</v>
      </c>
    </row>
    <row r="14" spans="1:22" x14ac:dyDescent="0.2">
      <c r="A14" s="29" t="s">
        <v>72</v>
      </c>
      <c r="B14" s="29" t="s">
        <v>73</v>
      </c>
      <c r="C14" s="29" t="s">
        <v>66</v>
      </c>
      <c r="D14" s="30" t="str">
        <f>"0,9242"</f>
        <v>0,9242</v>
      </c>
      <c r="E14" s="29" t="s">
        <v>54</v>
      </c>
      <c r="F14" s="29" t="s">
        <v>28</v>
      </c>
      <c r="G14" s="31" t="s">
        <v>69</v>
      </c>
      <c r="H14" s="32" t="s">
        <v>34</v>
      </c>
      <c r="I14" s="48" t="s">
        <v>34</v>
      </c>
      <c r="J14" s="32"/>
      <c r="K14" s="31" t="s">
        <v>33</v>
      </c>
      <c r="L14" s="32" t="s">
        <v>55</v>
      </c>
      <c r="M14" s="48" t="s">
        <v>55</v>
      </c>
      <c r="N14" s="32"/>
      <c r="O14" s="31" t="s">
        <v>74</v>
      </c>
      <c r="P14" s="48" t="s">
        <v>75</v>
      </c>
      <c r="Q14" s="32" t="s">
        <v>76</v>
      </c>
      <c r="R14" s="32"/>
      <c r="S14" s="49" t="str">
        <f>"220,0"</f>
        <v>220,0</v>
      </c>
      <c r="T14" s="34" t="str">
        <f>"203,3240"</f>
        <v>203,3240</v>
      </c>
      <c r="U14" s="29" t="s">
        <v>61</v>
      </c>
      <c r="V14" s="3" t="s">
        <v>450</v>
      </c>
    </row>
    <row r="15" spans="1:22" x14ac:dyDescent="0.2">
      <c r="A15" s="23" t="s">
        <v>78</v>
      </c>
      <c r="B15" s="23" t="s">
        <v>79</v>
      </c>
      <c r="C15" s="23" t="s">
        <v>80</v>
      </c>
      <c r="D15" s="24" t="str">
        <f>"0,9187"</f>
        <v>0,9187</v>
      </c>
      <c r="E15" s="23" t="s">
        <v>54</v>
      </c>
      <c r="F15" s="23" t="s">
        <v>28</v>
      </c>
      <c r="G15" s="26" t="s">
        <v>74</v>
      </c>
      <c r="H15" s="26" t="s">
        <v>35</v>
      </c>
      <c r="I15" s="50" t="s">
        <v>75</v>
      </c>
      <c r="J15" s="25"/>
      <c r="K15" s="26" t="s">
        <v>30</v>
      </c>
      <c r="L15" s="26" t="s">
        <v>46</v>
      </c>
      <c r="M15" s="50" t="s">
        <v>68</v>
      </c>
      <c r="N15" s="25"/>
      <c r="O15" s="26" t="s">
        <v>35</v>
      </c>
      <c r="P15" s="26" t="s">
        <v>76</v>
      </c>
      <c r="Q15" s="50" t="s">
        <v>45</v>
      </c>
      <c r="R15" s="25"/>
      <c r="S15" s="52" t="str">
        <f>"275,0"</f>
        <v>275,0</v>
      </c>
      <c r="T15" s="28" t="str">
        <f>"304,1816"</f>
        <v>304,1816</v>
      </c>
      <c r="U15" s="23" t="s">
        <v>61</v>
      </c>
      <c r="V15" s="3" t="s">
        <v>451</v>
      </c>
    </row>
    <row r="17" spans="1:22" ht="15" x14ac:dyDescent="0.2">
      <c r="A17" s="78" t="s">
        <v>81</v>
      </c>
      <c r="B17" s="78"/>
      <c r="C17" s="78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1:22" x14ac:dyDescent="0.2">
      <c r="A18" s="11" t="s">
        <v>83</v>
      </c>
      <c r="B18" s="11" t="s">
        <v>84</v>
      </c>
      <c r="C18" s="11" t="s">
        <v>85</v>
      </c>
      <c r="D18" s="12" t="str">
        <f>"0,8831"</f>
        <v>0,8831</v>
      </c>
      <c r="E18" s="11" t="s">
        <v>43</v>
      </c>
      <c r="F18" s="11" t="s">
        <v>44</v>
      </c>
      <c r="G18" s="13" t="s">
        <v>86</v>
      </c>
      <c r="H18" s="44" t="s">
        <v>87</v>
      </c>
      <c r="I18" s="14" t="s">
        <v>88</v>
      </c>
      <c r="J18" s="14"/>
      <c r="K18" s="13" t="s">
        <v>57</v>
      </c>
      <c r="L18" s="13" t="s">
        <v>29</v>
      </c>
      <c r="M18" s="14" t="s">
        <v>89</v>
      </c>
      <c r="N18" s="14"/>
      <c r="O18" s="13" t="s">
        <v>47</v>
      </c>
      <c r="P18" s="44" t="s">
        <v>90</v>
      </c>
      <c r="Q18" s="14" t="s">
        <v>88</v>
      </c>
      <c r="R18" s="14"/>
      <c r="S18" s="45" t="str">
        <f>"322,5"</f>
        <v>322,5</v>
      </c>
      <c r="T18" s="16" t="str">
        <f>"284,8159"</f>
        <v>284,8159</v>
      </c>
      <c r="U18" s="11" t="s">
        <v>49</v>
      </c>
      <c r="V18" s="3" t="s">
        <v>450</v>
      </c>
    </row>
    <row r="20" spans="1:22" ht="15" x14ac:dyDescent="0.2">
      <c r="A20" s="78" t="s">
        <v>91</v>
      </c>
      <c r="B20" s="78"/>
      <c r="C20" s="78"/>
      <c r="D20" s="7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1:22" x14ac:dyDescent="0.2">
      <c r="A21" s="11" t="s">
        <v>93</v>
      </c>
      <c r="B21" s="11" t="s">
        <v>94</v>
      </c>
      <c r="C21" s="11" t="s">
        <v>95</v>
      </c>
      <c r="D21" s="12" t="str">
        <f>"0,8364"</f>
        <v>0,8364</v>
      </c>
      <c r="E21" s="11" t="s">
        <v>96</v>
      </c>
      <c r="F21" s="11" t="s">
        <v>28</v>
      </c>
      <c r="G21" s="13" t="s">
        <v>55</v>
      </c>
      <c r="H21" s="44" t="s">
        <v>56</v>
      </c>
      <c r="I21" s="14" t="s">
        <v>57</v>
      </c>
      <c r="J21" s="14"/>
      <c r="K21" s="13" t="s">
        <v>97</v>
      </c>
      <c r="L21" s="44" t="s">
        <v>98</v>
      </c>
      <c r="M21" s="14" t="s">
        <v>31</v>
      </c>
      <c r="N21" s="14"/>
      <c r="O21" s="44" t="s">
        <v>57</v>
      </c>
      <c r="P21" s="14" t="s">
        <v>30</v>
      </c>
      <c r="Q21" s="14" t="s">
        <v>68</v>
      </c>
      <c r="R21" s="14"/>
      <c r="S21" s="45" t="str">
        <f>"135,0"</f>
        <v>135,0</v>
      </c>
      <c r="T21" s="16" t="str">
        <f>"138,8842"</f>
        <v>138,8842</v>
      </c>
      <c r="U21" s="11" t="s">
        <v>99</v>
      </c>
      <c r="V21" s="3" t="s">
        <v>450</v>
      </c>
    </row>
    <row r="23" spans="1:22" ht="15" x14ac:dyDescent="0.2">
      <c r="A23" s="78" t="s">
        <v>100</v>
      </c>
      <c r="B23" s="78"/>
      <c r="C23" s="78"/>
      <c r="D23" s="7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22" x14ac:dyDescent="0.2">
      <c r="A24" s="11" t="s">
        <v>102</v>
      </c>
      <c r="B24" s="11" t="s">
        <v>103</v>
      </c>
      <c r="C24" s="11" t="s">
        <v>104</v>
      </c>
      <c r="D24" s="12" t="str">
        <f>"0,7516"</f>
        <v>0,7516</v>
      </c>
      <c r="E24" s="11" t="s">
        <v>27</v>
      </c>
      <c r="F24" s="11" t="s">
        <v>105</v>
      </c>
      <c r="G24" s="13" t="s">
        <v>76</v>
      </c>
      <c r="H24" s="13" t="s">
        <v>59</v>
      </c>
      <c r="I24" s="44" t="s">
        <v>45</v>
      </c>
      <c r="J24" s="14"/>
      <c r="K24" s="13" t="s">
        <v>30</v>
      </c>
      <c r="L24" s="13" t="s">
        <v>68</v>
      </c>
      <c r="M24" s="44" t="s">
        <v>106</v>
      </c>
      <c r="N24" s="14"/>
      <c r="O24" s="44" t="s">
        <v>76</v>
      </c>
      <c r="P24" s="14" t="s">
        <v>107</v>
      </c>
      <c r="Q24" s="13" t="s">
        <v>107</v>
      </c>
      <c r="R24" s="14"/>
      <c r="S24" s="45" t="str">
        <f>"290,0"</f>
        <v>290,0</v>
      </c>
      <c r="T24" s="16" t="str">
        <f>"224,7209"</f>
        <v>224,7209</v>
      </c>
      <c r="U24" s="11" t="s">
        <v>108</v>
      </c>
      <c r="V24" s="3" t="s">
        <v>450</v>
      </c>
    </row>
    <row r="26" spans="1:22" ht="15" x14ac:dyDescent="0.2">
      <c r="A26" s="78" t="s">
        <v>81</v>
      </c>
      <c r="B26" s="78"/>
      <c r="C26" s="78"/>
      <c r="D26" s="7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2" x14ac:dyDescent="0.2">
      <c r="A27" s="11" t="s">
        <v>110</v>
      </c>
      <c r="B27" s="11" t="s">
        <v>111</v>
      </c>
      <c r="C27" s="11" t="s">
        <v>112</v>
      </c>
      <c r="D27" s="12" t="str">
        <f>"0,8142"</f>
        <v>0,8142</v>
      </c>
      <c r="E27" s="11" t="s">
        <v>113</v>
      </c>
      <c r="F27" s="11" t="s">
        <v>28</v>
      </c>
      <c r="G27" s="13" t="s">
        <v>114</v>
      </c>
      <c r="H27" s="14" t="s">
        <v>115</v>
      </c>
      <c r="I27" s="44" t="s">
        <v>115</v>
      </c>
      <c r="J27" s="14"/>
      <c r="K27" s="13" t="s">
        <v>34</v>
      </c>
      <c r="L27" s="44" t="s">
        <v>74</v>
      </c>
      <c r="M27" s="14" t="s">
        <v>35</v>
      </c>
      <c r="N27" s="14"/>
      <c r="O27" s="44" t="s">
        <v>116</v>
      </c>
      <c r="P27" s="14" t="s">
        <v>117</v>
      </c>
      <c r="Q27" s="14" t="s">
        <v>117</v>
      </c>
      <c r="R27" s="14"/>
      <c r="S27" s="45" t="str">
        <f>"435,0"</f>
        <v>435,0</v>
      </c>
      <c r="T27" s="16" t="str">
        <f>"354,1770"</f>
        <v>354,1770</v>
      </c>
      <c r="U27" s="11" t="s">
        <v>118</v>
      </c>
      <c r="V27" s="3" t="s">
        <v>450</v>
      </c>
    </row>
    <row r="29" spans="1:22" ht="15" x14ac:dyDescent="0.2">
      <c r="A29" s="78" t="s">
        <v>91</v>
      </c>
      <c r="B29" s="78"/>
      <c r="C29" s="78"/>
      <c r="D29" s="7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2" x14ac:dyDescent="0.2">
      <c r="A30" s="11" t="s">
        <v>120</v>
      </c>
      <c r="B30" s="11" t="s">
        <v>121</v>
      </c>
      <c r="C30" s="11" t="s">
        <v>122</v>
      </c>
      <c r="D30" s="12" t="str">
        <f>"0,7337"</f>
        <v>0,7337</v>
      </c>
      <c r="E30" s="11" t="s">
        <v>54</v>
      </c>
      <c r="F30" s="11" t="s">
        <v>28</v>
      </c>
      <c r="G30" s="13" t="s">
        <v>88</v>
      </c>
      <c r="H30" s="13" t="s">
        <v>114</v>
      </c>
      <c r="I30" s="44" t="s">
        <v>123</v>
      </c>
      <c r="J30" s="14"/>
      <c r="K30" s="13" t="s">
        <v>124</v>
      </c>
      <c r="L30" s="13" t="s">
        <v>125</v>
      </c>
      <c r="M30" s="44" t="s">
        <v>74</v>
      </c>
      <c r="N30" s="14"/>
      <c r="O30" s="13" t="s">
        <v>126</v>
      </c>
      <c r="P30" s="13" t="s">
        <v>127</v>
      </c>
      <c r="Q30" s="44" t="s">
        <v>128</v>
      </c>
      <c r="R30" s="14"/>
      <c r="S30" s="45" t="str">
        <f>"405,0"</f>
        <v>405,0</v>
      </c>
      <c r="T30" s="16" t="str">
        <f>"309,0344"</f>
        <v>309,0344</v>
      </c>
      <c r="U30" s="11" t="s">
        <v>61</v>
      </c>
      <c r="V30" s="3" t="s">
        <v>450</v>
      </c>
    </row>
    <row r="32" spans="1:22" ht="15" x14ac:dyDescent="0.2">
      <c r="A32" s="78" t="s">
        <v>100</v>
      </c>
      <c r="B32" s="78"/>
      <c r="C32" s="78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1:22" x14ac:dyDescent="0.2">
      <c r="A33" s="11" t="s">
        <v>130</v>
      </c>
      <c r="B33" s="11" t="s">
        <v>131</v>
      </c>
      <c r="C33" s="11" t="s">
        <v>132</v>
      </c>
      <c r="D33" s="12" t="str">
        <f>"0,6662"</f>
        <v>0,6662</v>
      </c>
      <c r="E33" s="11" t="s">
        <v>133</v>
      </c>
      <c r="F33" s="11" t="s">
        <v>134</v>
      </c>
      <c r="G33" s="14" t="s">
        <v>135</v>
      </c>
      <c r="H33" s="44" t="s">
        <v>135</v>
      </c>
      <c r="I33" s="14" t="s">
        <v>136</v>
      </c>
      <c r="J33" s="14"/>
      <c r="K33" s="13" t="s">
        <v>114</v>
      </c>
      <c r="L33" s="44" t="s">
        <v>115</v>
      </c>
      <c r="M33" s="14"/>
      <c r="N33" s="14"/>
      <c r="O33" s="13" t="s">
        <v>137</v>
      </c>
      <c r="P33" s="44" t="s">
        <v>138</v>
      </c>
      <c r="Q33" s="14"/>
      <c r="R33" s="14"/>
      <c r="S33" s="45" t="str">
        <f>"540,0"</f>
        <v>540,0</v>
      </c>
      <c r="T33" s="16" t="str">
        <f>"359,7750"</f>
        <v>359,7750</v>
      </c>
      <c r="U33" s="11" t="s">
        <v>139</v>
      </c>
      <c r="V33" s="3" t="s">
        <v>450</v>
      </c>
    </row>
    <row r="35" spans="1:22" ht="15" x14ac:dyDescent="0.2">
      <c r="A35" s="78" t="s">
        <v>140</v>
      </c>
      <c r="B35" s="78"/>
      <c r="C35" s="78"/>
      <c r="D35" s="7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1:22" x14ac:dyDescent="0.2">
      <c r="A36" s="11" t="s">
        <v>142</v>
      </c>
      <c r="B36" s="11" t="s">
        <v>143</v>
      </c>
      <c r="C36" s="11" t="s">
        <v>144</v>
      </c>
      <c r="D36" s="12" t="str">
        <f>"0,6227"</f>
        <v>0,6227</v>
      </c>
      <c r="E36" s="11" t="s">
        <v>27</v>
      </c>
      <c r="F36" s="11" t="s">
        <v>105</v>
      </c>
      <c r="G36" s="13" t="s">
        <v>45</v>
      </c>
      <c r="H36" s="13" t="s">
        <v>47</v>
      </c>
      <c r="I36" s="44" t="s">
        <v>90</v>
      </c>
      <c r="J36" s="14"/>
      <c r="K36" s="13" t="s">
        <v>30</v>
      </c>
      <c r="L36" s="13" t="s">
        <v>68</v>
      </c>
      <c r="M36" s="44" t="s">
        <v>69</v>
      </c>
      <c r="N36" s="14"/>
      <c r="O36" s="13" t="s">
        <v>59</v>
      </c>
      <c r="P36" s="13" t="s">
        <v>145</v>
      </c>
      <c r="Q36" s="44" t="s">
        <v>86</v>
      </c>
      <c r="R36" s="14"/>
      <c r="S36" s="45" t="str">
        <f>"330,0"</f>
        <v>330,0</v>
      </c>
      <c r="T36" s="16" t="str">
        <f>"242,4794"</f>
        <v>242,4794</v>
      </c>
      <c r="U36" s="11" t="s">
        <v>108</v>
      </c>
      <c r="V36" s="3" t="s">
        <v>450</v>
      </c>
    </row>
    <row r="38" spans="1:22" ht="15" x14ac:dyDescent="0.2">
      <c r="A38" s="78" t="s">
        <v>146</v>
      </c>
      <c r="B38" s="78"/>
      <c r="C38" s="78"/>
      <c r="D38" s="7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1:22" x14ac:dyDescent="0.2">
      <c r="A39" s="17" t="s">
        <v>148</v>
      </c>
      <c r="B39" s="17" t="s">
        <v>149</v>
      </c>
      <c r="C39" s="17" t="s">
        <v>150</v>
      </c>
      <c r="D39" s="18" t="str">
        <f>"0,5993"</f>
        <v>0,5993</v>
      </c>
      <c r="E39" s="17" t="s">
        <v>27</v>
      </c>
      <c r="F39" s="17" t="s">
        <v>105</v>
      </c>
      <c r="G39" s="19" t="s">
        <v>86</v>
      </c>
      <c r="H39" s="20" t="s">
        <v>86</v>
      </c>
      <c r="I39" s="20" t="s">
        <v>90</v>
      </c>
      <c r="J39" s="19"/>
      <c r="K39" s="20" t="s">
        <v>76</v>
      </c>
      <c r="L39" s="20" t="s">
        <v>45</v>
      </c>
      <c r="M39" s="19" t="s">
        <v>47</v>
      </c>
      <c r="N39" s="19"/>
      <c r="O39" s="20" t="s">
        <v>45</v>
      </c>
      <c r="P39" s="20" t="s">
        <v>86</v>
      </c>
      <c r="Q39" s="20" t="s">
        <v>114</v>
      </c>
      <c r="R39" s="19"/>
      <c r="S39" s="21" t="str">
        <f>"380,0"</f>
        <v>380,0</v>
      </c>
      <c r="T39" s="22" t="str">
        <f>"227,7340"</f>
        <v>227,7340</v>
      </c>
      <c r="U39" s="17" t="s">
        <v>108</v>
      </c>
    </row>
    <row r="40" spans="1:22" x14ac:dyDescent="0.2">
      <c r="A40" s="29" t="s">
        <v>152</v>
      </c>
      <c r="B40" s="29" t="s">
        <v>153</v>
      </c>
      <c r="C40" s="29" t="s">
        <v>154</v>
      </c>
      <c r="D40" s="30" t="str">
        <f>"0,5930"</f>
        <v>0,5930</v>
      </c>
      <c r="E40" s="29" t="s">
        <v>96</v>
      </c>
      <c r="F40" s="29" t="s">
        <v>28</v>
      </c>
      <c r="G40" s="31" t="s">
        <v>155</v>
      </c>
      <c r="H40" s="31" t="s">
        <v>156</v>
      </c>
      <c r="I40" s="48" t="s">
        <v>137</v>
      </c>
      <c r="J40" s="32"/>
      <c r="K40" s="31" t="s">
        <v>90</v>
      </c>
      <c r="L40" s="48" t="s">
        <v>88</v>
      </c>
      <c r="M40" s="32" t="s">
        <v>114</v>
      </c>
      <c r="N40" s="32"/>
      <c r="O40" s="31" t="s">
        <v>157</v>
      </c>
      <c r="P40" s="48" t="s">
        <v>158</v>
      </c>
      <c r="Q40" s="32"/>
      <c r="R40" s="32"/>
      <c r="S40" s="49" t="str">
        <f>"565,0"</f>
        <v>565,0</v>
      </c>
      <c r="T40" s="34" t="str">
        <f>"335,0450"</f>
        <v>335,0450</v>
      </c>
      <c r="U40" s="29" t="s">
        <v>99</v>
      </c>
      <c r="V40" s="3" t="s">
        <v>450</v>
      </c>
    </row>
    <row r="41" spans="1:22" x14ac:dyDescent="0.2">
      <c r="A41" s="23" t="s">
        <v>160</v>
      </c>
      <c r="B41" s="23" t="s">
        <v>161</v>
      </c>
      <c r="C41" s="23" t="s">
        <v>162</v>
      </c>
      <c r="D41" s="24" t="str">
        <f>"0,5885"</f>
        <v>0,5885</v>
      </c>
      <c r="E41" s="23" t="s">
        <v>163</v>
      </c>
      <c r="F41" s="23" t="s">
        <v>44</v>
      </c>
      <c r="G41" s="26" t="s">
        <v>126</v>
      </c>
      <c r="H41" s="25" t="s">
        <v>155</v>
      </c>
      <c r="I41" s="26" t="s">
        <v>156</v>
      </c>
      <c r="J41" s="25"/>
      <c r="K41" s="26" t="s">
        <v>90</v>
      </c>
      <c r="L41" s="25" t="s">
        <v>88</v>
      </c>
      <c r="M41" s="25" t="s">
        <v>88</v>
      </c>
      <c r="N41" s="25"/>
      <c r="O41" s="26" t="s">
        <v>156</v>
      </c>
      <c r="P41" s="26" t="s">
        <v>136</v>
      </c>
      <c r="Q41" s="26" t="s">
        <v>116</v>
      </c>
      <c r="R41" s="25"/>
      <c r="S41" s="27" t="str">
        <f>"510,0"</f>
        <v>510,0</v>
      </c>
      <c r="T41" s="28" t="str">
        <f>"305,5374"</f>
        <v>305,5374</v>
      </c>
      <c r="U41" s="23" t="s">
        <v>164</v>
      </c>
    </row>
    <row r="43" spans="1:22" ht="15" x14ac:dyDescent="0.2">
      <c r="A43" s="78" t="s">
        <v>165</v>
      </c>
      <c r="B43" s="78"/>
      <c r="C43" s="78"/>
      <c r="D43" s="7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1:22" x14ac:dyDescent="0.2">
      <c r="A44" s="17" t="s">
        <v>167</v>
      </c>
      <c r="B44" s="17" t="s">
        <v>168</v>
      </c>
      <c r="C44" s="17" t="s">
        <v>169</v>
      </c>
      <c r="D44" s="18" t="str">
        <f>"0,5472"</f>
        <v>0,5472</v>
      </c>
      <c r="E44" s="17" t="s">
        <v>43</v>
      </c>
      <c r="F44" s="17" t="s">
        <v>44</v>
      </c>
      <c r="G44" s="20" t="s">
        <v>157</v>
      </c>
      <c r="H44" s="46" t="s">
        <v>170</v>
      </c>
      <c r="I44" s="19"/>
      <c r="J44" s="19"/>
      <c r="K44" s="20" t="s">
        <v>155</v>
      </c>
      <c r="L44" s="46" t="s">
        <v>136</v>
      </c>
      <c r="M44" s="19"/>
      <c r="N44" s="19"/>
      <c r="O44" s="20" t="s">
        <v>171</v>
      </c>
      <c r="P44" s="46" t="s">
        <v>172</v>
      </c>
      <c r="Q44" s="19" t="s">
        <v>173</v>
      </c>
      <c r="R44" s="19"/>
      <c r="S44" s="47" t="str">
        <f>"745,0"</f>
        <v>745,0</v>
      </c>
      <c r="T44" s="22" t="str">
        <f>"407,6640"</f>
        <v>407,6640</v>
      </c>
      <c r="U44" s="17" t="s">
        <v>49</v>
      </c>
      <c r="V44" s="3" t="s">
        <v>450</v>
      </c>
    </row>
    <row r="45" spans="1:22" x14ac:dyDescent="0.2">
      <c r="A45" s="23" t="s">
        <v>175</v>
      </c>
      <c r="B45" s="23" t="s">
        <v>176</v>
      </c>
      <c r="C45" s="23" t="s">
        <v>177</v>
      </c>
      <c r="D45" s="24" t="str">
        <f>"0,5382"</f>
        <v>0,5382</v>
      </c>
      <c r="E45" s="23" t="s">
        <v>54</v>
      </c>
      <c r="F45" s="23" t="s">
        <v>28</v>
      </c>
      <c r="G45" s="26" t="s">
        <v>178</v>
      </c>
      <c r="H45" s="26" t="s">
        <v>179</v>
      </c>
      <c r="I45" s="25" t="s">
        <v>158</v>
      </c>
      <c r="J45" s="25"/>
      <c r="K45" s="26" t="s">
        <v>115</v>
      </c>
      <c r="L45" s="26" t="s">
        <v>180</v>
      </c>
      <c r="M45" s="25" t="s">
        <v>127</v>
      </c>
      <c r="N45" s="25"/>
      <c r="O45" s="26" t="s">
        <v>157</v>
      </c>
      <c r="P45" s="26" t="s">
        <v>181</v>
      </c>
      <c r="Q45" s="25" t="s">
        <v>182</v>
      </c>
      <c r="R45" s="25"/>
      <c r="S45" s="27" t="str">
        <f>"635,0"</f>
        <v>635,0</v>
      </c>
      <c r="T45" s="28" t="str">
        <f>"341,7570"</f>
        <v>341,7570</v>
      </c>
      <c r="U45" s="23" t="s">
        <v>183</v>
      </c>
    </row>
    <row r="47" spans="1:22" ht="15" x14ac:dyDescent="0.2">
      <c r="A47" s="78" t="s">
        <v>184</v>
      </c>
      <c r="B47" s="78"/>
      <c r="C47" s="78"/>
      <c r="D47" s="7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1:22" x14ac:dyDescent="0.2">
      <c r="A48" s="11" t="s">
        <v>186</v>
      </c>
      <c r="B48" s="11" t="s">
        <v>187</v>
      </c>
      <c r="C48" s="11" t="s">
        <v>188</v>
      </c>
      <c r="D48" s="12" t="str">
        <f>"0,5107"</f>
        <v>0,5107</v>
      </c>
      <c r="E48" s="11" t="s">
        <v>133</v>
      </c>
      <c r="F48" s="11" t="s">
        <v>134</v>
      </c>
      <c r="G48" s="14" t="s">
        <v>117</v>
      </c>
      <c r="H48" s="13" t="s">
        <v>189</v>
      </c>
      <c r="I48" s="44" t="s">
        <v>190</v>
      </c>
      <c r="J48" s="14"/>
      <c r="K48" s="13" t="s">
        <v>126</v>
      </c>
      <c r="L48" s="44" t="s">
        <v>155</v>
      </c>
      <c r="M48" s="14" t="s">
        <v>191</v>
      </c>
      <c r="N48" s="14"/>
      <c r="O48" s="13" t="s">
        <v>158</v>
      </c>
      <c r="P48" s="13" t="s">
        <v>192</v>
      </c>
      <c r="Q48" s="44" t="s">
        <v>193</v>
      </c>
      <c r="R48" s="14"/>
      <c r="S48" s="45" t="str">
        <f>"677,5"</f>
        <v>677,5</v>
      </c>
      <c r="T48" s="16" t="str">
        <f>"349,0996"</f>
        <v>349,0996</v>
      </c>
      <c r="U48" s="11" t="s">
        <v>194</v>
      </c>
      <c r="V48" s="3" t="s">
        <v>450</v>
      </c>
    </row>
    <row r="50" spans="1:5" ht="15" x14ac:dyDescent="0.2">
      <c r="E50" s="9" t="s">
        <v>11</v>
      </c>
    </row>
    <row r="51" spans="1:5" ht="15" x14ac:dyDescent="0.2">
      <c r="E51" s="9" t="s">
        <v>12</v>
      </c>
    </row>
    <row r="52" spans="1:5" ht="15" x14ac:dyDescent="0.2">
      <c r="E52" s="9" t="s">
        <v>13</v>
      </c>
    </row>
    <row r="53" spans="1:5" ht="15" x14ac:dyDescent="0.2">
      <c r="E53" s="9" t="s">
        <v>14</v>
      </c>
    </row>
    <row r="54" spans="1:5" ht="15" x14ac:dyDescent="0.2">
      <c r="E54" s="9" t="s">
        <v>14</v>
      </c>
    </row>
    <row r="55" spans="1:5" ht="15" x14ac:dyDescent="0.2">
      <c r="E55" s="9" t="s">
        <v>15</v>
      </c>
    </row>
    <row r="56" spans="1:5" ht="15" x14ac:dyDescent="0.2">
      <c r="E56" s="9"/>
    </row>
    <row r="58" spans="1:5" ht="18" x14ac:dyDescent="0.25">
      <c r="A58" s="10" t="s">
        <v>16</v>
      </c>
      <c r="B58" s="10"/>
    </row>
    <row r="59" spans="1:5" ht="15" x14ac:dyDescent="0.2">
      <c r="A59" s="35" t="s">
        <v>195</v>
      </c>
      <c r="B59" s="35"/>
    </row>
    <row r="60" spans="1:5" ht="14.25" x14ac:dyDescent="0.2">
      <c r="A60" s="37"/>
      <c r="B60" s="38" t="s">
        <v>196</v>
      </c>
    </row>
    <row r="61" spans="1:5" ht="15" x14ac:dyDescent="0.2">
      <c r="A61" s="39" t="s">
        <v>197</v>
      </c>
      <c r="B61" s="39" t="s">
        <v>198</v>
      </c>
      <c r="C61" s="39" t="s">
        <v>199</v>
      </c>
      <c r="D61" s="40" t="s">
        <v>200</v>
      </c>
      <c r="E61" s="39" t="s">
        <v>201</v>
      </c>
    </row>
    <row r="62" spans="1:5" x14ac:dyDescent="0.2">
      <c r="A62" s="36" t="s">
        <v>63</v>
      </c>
      <c r="B62" s="4" t="s">
        <v>202</v>
      </c>
      <c r="C62" s="4" t="s">
        <v>203</v>
      </c>
      <c r="D62" s="41">
        <v>177.5</v>
      </c>
      <c r="E62" s="42">
        <v>201.77596464604099</v>
      </c>
    </row>
    <row r="63" spans="1:5" x14ac:dyDescent="0.2">
      <c r="A63" s="36" t="s">
        <v>92</v>
      </c>
      <c r="B63" s="4" t="s">
        <v>204</v>
      </c>
      <c r="C63" s="4" t="s">
        <v>205</v>
      </c>
      <c r="D63" s="41">
        <v>135</v>
      </c>
      <c r="E63" s="42">
        <v>138.88421542346501</v>
      </c>
    </row>
    <row r="65" spans="1:5" ht="14.25" x14ac:dyDescent="0.2">
      <c r="A65" s="37"/>
      <c r="B65" s="38" t="s">
        <v>206</v>
      </c>
    </row>
    <row r="66" spans="1:5" ht="15" x14ac:dyDescent="0.2">
      <c r="A66" s="39" t="s">
        <v>197</v>
      </c>
      <c r="B66" s="39" t="s">
        <v>198</v>
      </c>
      <c r="C66" s="39" t="s">
        <v>199</v>
      </c>
      <c r="D66" s="40" t="s">
        <v>200</v>
      </c>
      <c r="E66" s="39" t="s">
        <v>201</v>
      </c>
    </row>
    <row r="67" spans="1:5" x14ac:dyDescent="0.2">
      <c r="A67" s="36" t="s">
        <v>82</v>
      </c>
      <c r="B67" s="4" t="s">
        <v>206</v>
      </c>
      <c r="C67" s="4" t="s">
        <v>207</v>
      </c>
      <c r="D67" s="41">
        <v>322.5</v>
      </c>
      <c r="E67" s="42">
        <v>284.81586903333698</v>
      </c>
    </row>
    <row r="68" spans="1:5" x14ac:dyDescent="0.2">
      <c r="A68" s="36" t="s">
        <v>71</v>
      </c>
      <c r="B68" s="4" t="s">
        <v>206</v>
      </c>
      <c r="C68" s="4" t="s">
        <v>203</v>
      </c>
      <c r="D68" s="41">
        <v>220</v>
      </c>
      <c r="E68" s="42">
        <v>203.323999643326</v>
      </c>
    </row>
    <row r="69" spans="1:5" x14ac:dyDescent="0.2">
      <c r="A69" s="36" t="s">
        <v>23</v>
      </c>
      <c r="B69" s="4" t="s">
        <v>206</v>
      </c>
      <c r="C69" s="4" t="s">
        <v>208</v>
      </c>
      <c r="D69" s="41">
        <v>195</v>
      </c>
      <c r="E69" s="42">
        <v>188.73075574636499</v>
      </c>
    </row>
    <row r="71" spans="1:5" ht="14.25" x14ac:dyDescent="0.2">
      <c r="A71" s="37"/>
      <c r="B71" s="38" t="s">
        <v>209</v>
      </c>
    </row>
    <row r="72" spans="1:5" ht="15" x14ac:dyDescent="0.2">
      <c r="A72" s="39" t="s">
        <v>197</v>
      </c>
      <c r="B72" s="39" t="s">
        <v>198</v>
      </c>
      <c r="C72" s="39" t="s">
        <v>199</v>
      </c>
      <c r="D72" s="40" t="s">
        <v>200</v>
      </c>
      <c r="E72" s="39" t="s">
        <v>201</v>
      </c>
    </row>
    <row r="73" spans="1:5" x14ac:dyDescent="0.2">
      <c r="A73" s="36" t="s">
        <v>77</v>
      </c>
      <c r="B73" s="4" t="s">
        <v>210</v>
      </c>
      <c r="C73" s="4" t="s">
        <v>203</v>
      </c>
      <c r="D73" s="41">
        <v>275</v>
      </c>
      <c r="E73" s="42">
        <v>304.18156330585498</v>
      </c>
    </row>
    <row r="74" spans="1:5" x14ac:dyDescent="0.2">
      <c r="A74" s="36" t="s">
        <v>101</v>
      </c>
      <c r="B74" s="4" t="s">
        <v>211</v>
      </c>
      <c r="C74" s="4" t="s">
        <v>212</v>
      </c>
      <c r="D74" s="41">
        <v>290</v>
      </c>
      <c r="E74" s="42">
        <v>224.72089209795001</v>
      </c>
    </row>
    <row r="77" spans="1:5" ht="15" x14ac:dyDescent="0.2">
      <c r="A77" s="35" t="s">
        <v>213</v>
      </c>
      <c r="B77" s="35"/>
    </row>
    <row r="78" spans="1:5" ht="14.25" x14ac:dyDescent="0.2">
      <c r="A78" s="37"/>
      <c r="B78" s="38" t="s">
        <v>214</v>
      </c>
    </row>
    <row r="79" spans="1:5" ht="15" x14ac:dyDescent="0.2">
      <c r="A79" s="39" t="s">
        <v>197</v>
      </c>
      <c r="B79" s="39" t="s">
        <v>198</v>
      </c>
      <c r="C79" s="39" t="s">
        <v>199</v>
      </c>
      <c r="D79" s="40" t="s">
        <v>200</v>
      </c>
      <c r="E79" s="39" t="s">
        <v>201</v>
      </c>
    </row>
    <row r="80" spans="1:5" x14ac:dyDescent="0.2">
      <c r="A80" s="36" t="s">
        <v>119</v>
      </c>
      <c r="B80" s="4" t="s">
        <v>215</v>
      </c>
      <c r="C80" s="4" t="s">
        <v>205</v>
      </c>
      <c r="D80" s="41">
        <v>405</v>
      </c>
      <c r="E80" s="42">
        <v>309.03443048000298</v>
      </c>
    </row>
    <row r="81" spans="1:5" x14ac:dyDescent="0.2">
      <c r="A81" s="36" t="s">
        <v>141</v>
      </c>
      <c r="B81" s="4" t="s">
        <v>202</v>
      </c>
      <c r="C81" s="4" t="s">
        <v>216</v>
      </c>
      <c r="D81" s="41">
        <v>330</v>
      </c>
      <c r="E81" s="42">
        <v>242.47937064170799</v>
      </c>
    </row>
    <row r="83" spans="1:5" ht="14.25" x14ac:dyDescent="0.2">
      <c r="A83" s="37"/>
      <c r="B83" s="38" t="s">
        <v>206</v>
      </c>
    </row>
    <row r="84" spans="1:5" ht="15" x14ac:dyDescent="0.2">
      <c r="A84" s="39" t="s">
        <v>197</v>
      </c>
      <c r="B84" s="39" t="s">
        <v>198</v>
      </c>
      <c r="C84" s="39" t="s">
        <v>199</v>
      </c>
      <c r="D84" s="40" t="s">
        <v>200</v>
      </c>
      <c r="E84" s="39" t="s">
        <v>201</v>
      </c>
    </row>
    <row r="85" spans="1:5" x14ac:dyDescent="0.2">
      <c r="A85" s="36" t="s">
        <v>166</v>
      </c>
      <c r="B85" s="4" t="s">
        <v>206</v>
      </c>
      <c r="C85" s="4" t="s">
        <v>217</v>
      </c>
      <c r="D85" s="41">
        <v>745</v>
      </c>
      <c r="E85" s="42">
        <v>407.66401797533001</v>
      </c>
    </row>
    <row r="86" spans="1:5" x14ac:dyDescent="0.2">
      <c r="A86" s="36" t="s">
        <v>129</v>
      </c>
      <c r="B86" s="4" t="s">
        <v>206</v>
      </c>
      <c r="C86" s="4" t="s">
        <v>212</v>
      </c>
      <c r="D86" s="41">
        <v>540</v>
      </c>
      <c r="E86" s="42">
        <v>359.77499485015898</v>
      </c>
    </row>
    <row r="87" spans="1:5" x14ac:dyDescent="0.2">
      <c r="A87" s="36" t="s">
        <v>109</v>
      </c>
      <c r="B87" s="4" t="s">
        <v>206</v>
      </c>
      <c r="C87" s="4" t="s">
        <v>207</v>
      </c>
      <c r="D87" s="41">
        <v>435</v>
      </c>
      <c r="E87" s="42">
        <v>354.17699307203299</v>
      </c>
    </row>
    <row r="88" spans="1:5" x14ac:dyDescent="0.2">
      <c r="A88" s="36" t="s">
        <v>174</v>
      </c>
      <c r="B88" s="4" t="s">
        <v>206</v>
      </c>
      <c r="C88" s="4" t="s">
        <v>217</v>
      </c>
      <c r="D88" s="41">
        <v>635</v>
      </c>
      <c r="E88" s="42">
        <v>341.75701320171402</v>
      </c>
    </row>
    <row r="89" spans="1:5" x14ac:dyDescent="0.2">
      <c r="A89" s="36" t="s">
        <v>147</v>
      </c>
      <c r="B89" s="4" t="s">
        <v>206</v>
      </c>
      <c r="C89" s="4" t="s">
        <v>218</v>
      </c>
      <c r="D89" s="41">
        <v>380</v>
      </c>
      <c r="E89" s="42">
        <v>227.734010219574</v>
      </c>
    </row>
    <row r="91" spans="1:5" ht="14.25" x14ac:dyDescent="0.2">
      <c r="A91" s="37"/>
      <c r="B91" s="38" t="s">
        <v>209</v>
      </c>
    </row>
    <row r="92" spans="1:5" ht="15" x14ac:dyDescent="0.2">
      <c r="A92" s="39" t="s">
        <v>197</v>
      </c>
      <c r="B92" s="39" t="s">
        <v>198</v>
      </c>
      <c r="C92" s="39" t="s">
        <v>199</v>
      </c>
      <c r="D92" s="40" t="s">
        <v>200</v>
      </c>
      <c r="E92" s="39" t="s">
        <v>201</v>
      </c>
    </row>
    <row r="93" spans="1:5" x14ac:dyDescent="0.2">
      <c r="A93" s="36" t="s">
        <v>185</v>
      </c>
      <c r="B93" s="4" t="s">
        <v>211</v>
      </c>
      <c r="C93" s="4" t="s">
        <v>219</v>
      </c>
      <c r="D93" s="41">
        <v>677.5</v>
      </c>
      <c r="E93" s="42">
        <v>349.09958487316999</v>
      </c>
    </row>
    <row r="94" spans="1:5" x14ac:dyDescent="0.2">
      <c r="A94" s="36" t="s">
        <v>151</v>
      </c>
      <c r="B94" s="4" t="s">
        <v>211</v>
      </c>
      <c r="C94" s="4" t="s">
        <v>218</v>
      </c>
      <c r="D94" s="41">
        <v>565</v>
      </c>
      <c r="E94" s="42">
        <v>335.044997036457</v>
      </c>
    </row>
    <row r="95" spans="1:5" x14ac:dyDescent="0.2">
      <c r="A95" s="36" t="s">
        <v>159</v>
      </c>
      <c r="B95" s="4" t="s">
        <v>211</v>
      </c>
      <c r="C95" s="4" t="s">
        <v>218</v>
      </c>
      <c r="D95" s="41">
        <v>510</v>
      </c>
      <c r="E95" s="42">
        <v>305.53744188308701</v>
      </c>
    </row>
  </sheetData>
  <mergeCells count="26">
    <mergeCell ref="A47:R47"/>
    <mergeCell ref="A8:R8"/>
    <mergeCell ref="A12:R12"/>
    <mergeCell ref="A17:R17"/>
    <mergeCell ref="A20:R20"/>
    <mergeCell ref="A23:R23"/>
    <mergeCell ref="A26:R26"/>
    <mergeCell ref="A29:R29"/>
    <mergeCell ref="A32:R32"/>
    <mergeCell ref="A35:R35"/>
    <mergeCell ref="A38:R38"/>
    <mergeCell ref="A43:R43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B1" workbookViewId="0">
      <selection activeCell="L6" sqref="L6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6" bestFit="1" customWidth="1"/>
    <col min="10" max="10" width="9.5703125" style="7" bestFit="1" customWidth="1"/>
    <col min="11" max="11" width="31.85546875" style="4" bestFit="1" customWidth="1"/>
    <col min="12" max="16384" width="9.140625" style="3"/>
  </cols>
  <sheetData>
    <row r="1" spans="1:12" s="2" customFormat="1" ht="29.1" customHeight="1" x14ac:dyDescent="0.2">
      <c r="A1" s="62" t="s">
        <v>444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2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2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438</v>
      </c>
      <c r="E3" s="74" t="s">
        <v>4</v>
      </c>
      <c r="F3" s="74" t="s">
        <v>7</v>
      </c>
      <c r="G3" s="74" t="s">
        <v>439</v>
      </c>
      <c r="H3" s="74"/>
      <c r="I3" s="72" t="s">
        <v>248</v>
      </c>
      <c r="J3" s="72" t="s">
        <v>3</v>
      </c>
      <c r="K3" s="75" t="s">
        <v>2</v>
      </c>
    </row>
    <row r="4" spans="1:12" s="1" customFormat="1" ht="21" customHeight="1" thickBot="1" x14ac:dyDescent="0.25">
      <c r="A4" s="69"/>
      <c r="B4" s="71"/>
      <c r="C4" s="71"/>
      <c r="D4" s="73"/>
      <c r="E4" s="71"/>
      <c r="F4" s="71"/>
      <c r="G4" s="8" t="s">
        <v>8</v>
      </c>
      <c r="H4" s="8" t="s">
        <v>9</v>
      </c>
      <c r="I4" s="73"/>
      <c r="J4" s="73"/>
      <c r="K4" s="76"/>
    </row>
    <row r="5" spans="1:12" ht="15" x14ac:dyDescent="0.2">
      <c r="A5" s="60" t="s">
        <v>62</v>
      </c>
      <c r="B5" s="61"/>
      <c r="C5" s="61"/>
      <c r="D5" s="61"/>
      <c r="E5" s="61"/>
      <c r="F5" s="61"/>
      <c r="G5" s="61"/>
      <c r="H5" s="61"/>
    </row>
    <row r="6" spans="1:12" x14ac:dyDescent="0.2">
      <c r="A6" s="11" t="s">
        <v>251</v>
      </c>
      <c r="B6" s="11" t="s">
        <v>252</v>
      </c>
      <c r="C6" s="11" t="s">
        <v>253</v>
      </c>
      <c r="D6" s="12" t="str">
        <f>"0,9819"</f>
        <v>0,9819</v>
      </c>
      <c r="E6" s="11" t="s">
        <v>232</v>
      </c>
      <c r="F6" s="11" t="s">
        <v>28</v>
      </c>
      <c r="G6" s="13" t="s">
        <v>445</v>
      </c>
      <c r="H6" s="53" t="s">
        <v>446</v>
      </c>
      <c r="I6" s="15" t="str">
        <f>"1292,5"</f>
        <v>1292,5</v>
      </c>
      <c r="J6" s="16" t="str">
        <f>"1269,1057"</f>
        <v>1269,1057</v>
      </c>
      <c r="K6" s="11" t="s">
        <v>255</v>
      </c>
      <c r="L6" s="3" t="s">
        <v>451</v>
      </c>
    </row>
    <row r="8" spans="1:12" ht="15" x14ac:dyDescent="0.2">
      <c r="E8" s="9" t="s">
        <v>11</v>
      </c>
    </row>
    <row r="9" spans="1:12" ht="15" x14ac:dyDescent="0.2">
      <c r="E9" s="9" t="s">
        <v>12</v>
      </c>
    </row>
    <row r="10" spans="1:12" ht="15" x14ac:dyDescent="0.2">
      <c r="E10" s="9" t="s">
        <v>13</v>
      </c>
    </row>
    <row r="11" spans="1:12" ht="15" x14ac:dyDescent="0.2">
      <c r="E11" s="9" t="s">
        <v>14</v>
      </c>
    </row>
    <row r="12" spans="1:12" ht="15" x14ac:dyDescent="0.2">
      <c r="E12" s="9" t="s">
        <v>14</v>
      </c>
    </row>
    <row r="13" spans="1:12" ht="15" x14ac:dyDescent="0.2">
      <c r="E13" s="9" t="s">
        <v>15</v>
      </c>
    </row>
    <row r="14" spans="1:12" ht="15" x14ac:dyDescent="0.2">
      <c r="E14" s="9"/>
    </row>
    <row r="16" spans="1:12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214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443</v>
      </c>
    </row>
    <row r="20" spans="1:5" x14ac:dyDescent="0.2">
      <c r="A20" s="36" t="s">
        <v>250</v>
      </c>
      <c r="B20" s="4" t="s">
        <v>215</v>
      </c>
      <c r="C20" s="4" t="s">
        <v>203</v>
      </c>
      <c r="D20" s="41">
        <v>1292.5</v>
      </c>
      <c r="E20" s="42">
        <v>1269.1057199239699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workbookViewId="0">
      <selection activeCell="L6" sqref="L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140625" style="4" bestFit="1" customWidth="1"/>
    <col min="7" max="7" width="5.5703125" style="3" customWidth="1"/>
    <col min="8" max="8" width="10.42578125" style="3" customWidth="1"/>
    <col min="9" max="9" width="7.85546875" style="6" bestFit="1" customWidth="1"/>
    <col min="10" max="10" width="9.5703125" style="7" bestFit="1" customWidth="1"/>
    <col min="11" max="11" width="16.42578125" style="4" bestFit="1" customWidth="1"/>
    <col min="12" max="16384" width="9.140625" style="3"/>
  </cols>
  <sheetData>
    <row r="1" spans="1:12" s="2" customFormat="1" ht="29.1" customHeight="1" x14ac:dyDescent="0.2">
      <c r="A1" s="62" t="s">
        <v>437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2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2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438</v>
      </c>
      <c r="E3" s="74" t="s">
        <v>4</v>
      </c>
      <c r="F3" s="74" t="s">
        <v>7</v>
      </c>
      <c r="G3" s="74" t="s">
        <v>439</v>
      </c>
      <c r="H3" s="74"/>
      <c r="I3" s="72" t="s">
        <v>248</v>
      </c>
      <c r="J3" s="72" t="s">
        <v>3</v>
      </c>
      <c r="K3" s="75" t="s">
        <v>2</v>
      </c>
    </row>
    <row r="4" spans="1:12" s="1" customFormat="1" ht="21" customHeight="1" thickBot="1" x14ac:dyDescent="0.25">
      <c r="A4" s="69"/>
      <c r="B4" s="71"/>
      <c r="C4" s="71"/>
      <c r="D4" s="73"/>
      <c r="E4" s="71"/>
      <c r="F4" s="71"/>
      <c r="G4" s="8" t="s">
        <v>8</v>
      </c>
      <c r="H4" s="8" t="s">
        <v>9</v>
      </c>
      <c r="I4" s="73"/>
      <c r="J4" s="73"/>
      <c r="K4" s="76"/>
    </row>
    <row r="5" spans="1:12" ht="15" x14ac:dyDescent="0.2">
      <c r="A5" s="60" t="s">
        <v>91</v>
      </c>
      <c r="B5" s="61"/>
      <c r="C5" s="61"/>
      <c r="D5" s="61"/>
      <c r="E5" s="61"/>
      <c r="F5" s="61"/>
      <c r="G5" s="61"/>
      <c r="H5" s="61"/>
    </row>
    <row r="6" spans="1:12" x14ac:dyDescent="0.2">
      <c r="A6" s="11" t="s">
        <v>244</v>
      </c>
      <c r="B6" s="11" t="s">
        <v>245</v>
      </c>
      <c r="C6" s="11" t="s">
        <v>440</v>
      </c>
      <c r="D6" s="12" t="str">
        <f>"0,8777"</f>
        <v>0,8777</v>
      </c>
      <c r="E6" s="11" t="s">
        <v>43</v>
      </c>
      <c r="F6" s="11" t="s">
        <v>44</v>
      </c>
      <c r="G6" s="13" t="s">
        <v>30</v>
      </c>
      <c r="H6" s="44" t="s">
        <v>441</v>
      </c>
      <c r="I6" s="15" t="str">
        <f>"1300,0"</f>
        <v>1300,0</v>
      </c>
      <c r="J6" s="16" t="str">
        <f>"1141,0100"</f>
        <v>1141,0100</v>
      </c>
      <c r="K6" s="11" t="s">
        <v>49</v>
      </c>
      <c r="L6" s="3" t="s">
        <v>450</v>
      </c>
    </row>
    <row r="8" spans="1:12" ht="15" x14ac:dyDescent="0.2">
      <c r="A8" s="78" t="s">
        <v>328</v>
      </c>
      <c r="B8" s="78"/>
      <c r="C8" s="78"/>
      <c r="D8" s="79"/>
      <c r="E8" s="78"/>
      <c r="F8" s="78"/>
      <c r="G8" s="78"/>
      <c r="H8" s="78"/>
    </row>
    <row r="9" spans="1:12" x14ac:dyDescent="0.2">
      <c r="A9" s="11" t="s">
        <v>330</v>
      </c>
      <c r="B9" s="11" t="s">
        <v>331</v>
      </c>
      <c r="C9" s="11" t="s">
        <v>332</v>
      </c>
      <c r="D9" s="12" t="str">
        <f>"0,6648"</f>
        <v>0,6648</v>
      </c>
      <c r="E9" s="11" t="s">
        <v>43</v>
      </c>
      <c r="F9" s="11" t="s">
        <v>44</v>
      </c>
      <c r="G9" s="13" t="s">
        <v>76</v>
      </c>
      <c r="H9" s="44" t="s">
        <v>442</v>
      </c>
      <c r="I9" s="15" t="str">
        <f>"2100,0"</f>
        <v>2100,0</v>
      </c>
      <c r="J9" s="16" t="str">
        <f>"1396,0800"</f>
        <v>1396,0800</v>
      </c>
      <c r="K9" s="11" t="s">
        <v>49</v>
      </c>
      <c r="L9" s="3" t="s">
        <v>450</v>
      </c>
    </row>
    <row r="11" spans="1:12" ht="15" x14ac:dyDescent="0.2">
      <c r="E11" s="9" t="s">
        <v>11</v>
      </c>
    </row>
    <row r="12" spans="1:12" ht="15" x14ac:dyDescent="0.2">
      <c r="E12" s="9" t="s">
        <v>12</v>
      </c>
    </row>
    <row r="13" spans="1:12" ht="15" x14ac:dyDescent="0.2">
      <c r="E13" s="9" t="s">
        <v>13</v>
      </c>
    </row>
    <row r="14" spans="1:12" ht="15" x14ac:dyDescent="0.2">
      <c r="E14" s="9" t="s">
        <v>14</v>
      </c>
    </row>
    <row r="15" spans="1:12" ht="15" x14ac:dyDescent="0.2">
      <c r="E15" s="9" t="s">
        <v>14</v>
      </c>
    </row>
    <row r="16" spans="1:12" ht="15" x14ac:dyDescent="0.2">
      <c r="E16" s="9" t="s">
        <v>15</v>
      </c>
    </row>
    <row r="17" spans="1:5" ht="15" x14ac:dyDescent="0.2">
      <c r="E17" s="9"/>
    </row>
    <row r="19" spans="1:5" ht="18" x14ac:dyDescent="0.25">
      <c r="A19" s="10" t="s">
        <v>16</v>
      </c>
      <c r="B19" s="10"/>
    </row>
    <row r="20" spans="1:5" ht="15" x14ac:dyDescent="0.2">
      <c r="A20" s="35" t="s">
        <v>213</v>
      </c>
      <c r="B20" s="35"/>
    </row>
    <row r="21" spans="1:5" ht="14.25" x14ac:dyDescent="0.2">
      <c r="A21" s="37"/>
      <c r="B21" s="38" t="s">
        <v>206</v>
      </c>
    </row>
    <row r="22" spans="1:5" ht="15" x14ac:dyDescent="0.2">
      <c r="A22" s="39" t="s">
        <v>197</v>
      </c>
      <c r="B22" s="39" t="s">
        <v>198</v>
      </c>
      <c r="C22" s="39" t="s">
        <v>199</v>
      </c>
      <c r="D22" s="40" t="s">
        <v>247</v>
      </c>
      <c r="E22" s="39" t="s">
        <v>443</v>
      </c>
    </row>
    <row r="23" spans="1:5" x14ac:dyDescent="0.2">
      <c r="A23" s="36" t="s">
        <v>329</v>
      </c>
      <c r="B23" s="4" t="s">
        <v>206</v>
      </c>
      <c r="C23" s="4" t="s">
        <v>341</v>
      </c>
      <c r="D23" s="41">
        <v>2100</v>
      </c>
      <c r="E23" s="42">
        <v>1396.0799753665899</v>
      </c>
    </row>
    <row r="24" spans="1:5" x14ac:dyDescent="0.2">
      <c r="A24" s="36" t="s">
        <v>243</v>
      </c>
      <c r="B24" s="4" t="s">
        <v>206</v>
      </c>
      <c r="C24" s="4" t="s">
        <v>205</v>
      </c>
      <c r="D24" s="41">
        <v>1300</v>
      </c>
      <c r="E24" s="42">
        <v>1141.00996255875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B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3.5703125" style="4" bestFit="1" customWidth="1"/>
    <col min="7" max="9" width="4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8.85546875" style="4" bestFit="1" customWidth="1"/>
    <col min="14" max="16384" width="9.140625" style="3"/>
  </cols>
  <sheetData>
    <row r="1" spans="1:14" s="2" customFormat="1" ht="29.1" customHeight="1" x14ac:dyDescent="0.2">
      <c r="A1" s="62" t="s">
        <v>431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419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433</v>
      </c>
      <c r="B6" s="11" t="s">
        <v>434</v>
      </c>
      <c r="C6" s="11" t="s">
        <v>435</v>
      </c>
      <c r="D6" s="12" t="str">
        <f>"0,5613"</f>
        <v>0,5613</v>
      </c>
      <c r="E6" s="11" t="s">
        <v>232</v>
      </c>
      <c r="F6" s="11" t="s">
        <v>436</v>
      </c>
      <c r="G6" s="13" t="s">
        <v>30</v>
      </c>
      <c r="H6" s="44" t="s">
        <v>68</v>
      </c>
      <c r="I6" s="14" t="s">
        <v>106</v>
      </c>
      <c r="J6" s="14"/>
      <c r="K6" s="45" t="str">
        <f>"70,0"</f>
        <v>70,0</v>
      </c>
      <c r="L6" s="16" t="str">
        <f>"39,2910"</f>
        <v>39,2910</v>
      </c>
      <c r="M6" s="11" t="s">
        <v>139</v>
      </c>
      <c r="N6" s="3" t="s">
        <v>450</v>
      </c>
    </row>
    <row r="8" spans="1:14" ht="15" x14ac:dyDescent="0.2">
      <c r="E8" s="9" t="s">
        <v>11</v>
      </c>
    </row>
    <row r="9" spans="1:14" ht="15" x14ac:dyDescent="0.2">
      <c r="E9" s="9" t="s">
        <v>12</v>
      </c>
    </row>
    <row r="10" spans="1:14" ht="15" x14ac:dyDescent="0.2">
      <c r="E10" s="9" t="s">
        <v>13</v>
      </c>
    </row>
    <row r="11" spans="1:14" ht="15" x14ac:dyDescent="0.2">
      <c r="E11" s="9" t="s">
        <v>14</v>
      </c>
    </row>
    <row r="12" spans="1:14" ht="15" x14ac:dyDescent="0.2">
      <c r="E12" s="9" t="s">
        <v>14</v>
      </c>
    </row>
    <row r="13" spans="1:14" ht="15" x14ac:dyDescent="0.2">
      <c r="E13" s="9" t="s">
        <v>15</v>
      </c>
    </row>
    <row r="14" spans="1:14" ht="15" x14ac:dyDescent="0.2">
      <c r="E14" s="9"/>
    </row>
    <row r="16" spans="1:14" ht="18" x14ac:dyDescent="0.25">
      <c r="A16" s="10" t="s">
        <v>16</v>
      </c>
      <c r="B16" s="10"/>
    </row>
    <row r="17" spans="1:5" ht="15" x14ac:dyDescent="0.2">
      <c r="A17" s="35" t="s">
        <v>213</v>
      </c>
      <c r="B17" s="35"/>
    </row>
    <row r="18" spans="1:5" ht="14.25" x14ac:dyDescent="0.2">
      <c r="A18" s="37"/>
      <c r="B18" s="38" t="s">
        <v>206</v>
      </c>
    </row>
    <row r="19" spans="1:5" ht="15" x14ac:dyDescent="0.2">
      <c r="A19" s="39" t="s">
        <v>197</v>
      </c>
      <c r="B19" s="39" t="s">
        <v>198</v>
      </c>
      <c r="C19" s="39" t="s">
        <v>199</v>
      </c>
      <c r="D19" s="40" t="s">
        <v>247</v>
      </c>
      <c r="E19" s="39" t="s">
        <v>201</v>
      </c>
    </row>
    <row r="20" spans="1:5" x14ac:dyDescent="0.2">
      <c r="A20" s="36" t="s">
        <v>432</v>
      </c>
      <c r="B20" s="4" t="s">
        <v>206</v>
      </c>
      <c r="C20" s="4" t="s">
        <v>341</v>
      </c>
      <c r="D20" s="41">
        <v>70</v>
      </c>
      <c r="E20" s="42">
        <v>39.290998578071601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N6" sqref="N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6" bestFit="1" customWidth="1"/>
    <col min="12" max="12" width="7.5703125" style="7" bestFit="1" customWidth="1"/>
    <col min="13" max="13" width="16.42578125" style="4" bestFit="1" customWidth="1"/>
    <col min="14" max="16384" width="9.140625" style="3"/>
  </cols>
  <sheetData>
    <row r="1" spans="1:14" s="2" customFormat="1" ht="29.1" customHeight="1" x14ac:dyDescent="0.2">
      <c r="A1" s="62" t="s">
        <v>418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4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419</v>
      </c>
      <c r="H3" s="74"/>
      <c r="I3" s="74"/>
      <c r="J3" s="74"/>
      <c r="K3" s="72" t="s">
        <v>248</v>
      </c>
      <c r="L3" s="72" t="s">
        <v>3</v>
      </c>
      <c r="M3" s="75" t="s">
        <v>2</v>
      </c>
    </row>
    <row r="4" spans="1:14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73"/>
      <c r="L4" s="73"/>
      <c r="M4" s="76"/>
    </row>
    <row r="5" spans="1:14" ht="15" x14ac:dyDescent="0.2">
      <c r="A5" s="60" t="s">
        <v>81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x14ac:dyDescent="0.2">
      <c r="A6" s="11" t="s">
        <v>372</v>
      </c>
      <c r="B6" s="11" t="s">
        <v>373</v>
      </c>
      <c r="C6" s="11" t="s">
        <v>374</v>
      </c>
      <c r="D6" s="12" t="str">
        <f>"0,8271"</f>
        <v>0,8271</v>
      </c>
      <c r="E6" s="11" t="s">
        <v>54</v>
      </c>
      <c r="F6" s="11" t="s">
        <v>28</v>
      </c>
      <c r="G6" s="13" t="s">
        <v>33</v>
      </c>
      <c r="H6" s="44" t="s">
        <v>55</v>
      </c>
      <c r="I6" s="14" t="s">
        <v>56</v>
      </c>
      <c r="J6" s="14"/>
      <c r="K6" s="45" t="str">
        <f>"45,0"</f>
        <v>45,0</v>
      </c>
      <c r="L6" s="16" t="str">
        <f>"40,1971"</f>
        <v>40,1971</v>
      </c>
      <c r="M6" s="11" t="s">
        <v>61</v>
      </c>
      <c r="N6" s="3" t="s">
        <v>450</v>
      </c>
    </row>
    <row r="8" spans="1:14" ht="15" x14ac:dyDescent="0.2">
      <c r="A8" s="78" t="s">
        <v>100</v>
      </c>
      <c r="B8" s="78"/>
      <c r="C8" s="78"/>
      <c r="D8" s="79"/>
      <c r="E8" s="78"/>
      <c r="F8" s="78"/>
      <c r="G8" s="78"/>
      <c r="H8" s="78"/>
      <c r="I8" s="78"/>
      <c r="J8" s="78"/>
    </row>
    <row r="9" spans="1:14" x14ac:dyDescent="0.2">
      <c r="A9" s="17" t="s">
        <v>355</v>
      </c>
      <c r="B9" s="17" t="s">
        <v>356</v>
      </c>
      <c r="C9" s="17" t="s">
        <v>357</v>
      </c>
      <c r="D9" s="18" t="str">
        <f>"0,6801"</f>
        <v>0,6801</v>
      </c>
      <c r="E9" s="17" t="s">
        <v>133</v>
      </c>
      <c r="F9" s="17" t="s">
        <v>44</v>
      </c>
      <c r="G9" s="20" t="s">
        <v>56</v>
      </c>
      <c r="H9" s="19" t="s">
        <v>57</v>
      </c>
      <c r="I9" s="46" t="s">
        <v>29</v>
      </c>
      <c r="J9" s="19"/>
      <c r="K9" s="47" t="str">
        <f>"60,0"</f>
        <v>60,0</v>
      </c>
      <c r="L9" s="22" t="str">
        <f>"40,8060"</f>
        <v>40,8060</v>
      </c>
      <c r="M9" s="17" t="s">
        <v>139</v>
      </c>
      <c r="N9" s="3" t="s">
        <v>450</v>
      </c>
    </row>
    <row r="10" spans="1:14" x14ac:dyDescent="0.2">
      <c r="A10" s="29" t="s">
        <v>420</v>
      </c>
      <c r="B10" s="29" t="s">
        <v>377</v>
      </c>
      <c r="C10" s="29" t="s">
        <v>378</v>
      </c>
      <c r="D10" s="30" t="str">
        <f>"0,6659"</f>
        <v>0,6659</v>
      </c>
      <c r="E10" s="29" t="s">
        <v>54</v>
      </c>
      <c r="F10" s="29" t="s">
        <v>28</v>
      </c>
      <c r="G10" s="31" t="s">
        <v>421</v>
      </c>
      <c r="H10" s="31" t="s">
        <v>57</v>
      </c>
      <c r="I10" s="32" t="s">
        <v>29</v>
      </c>
      <c r="J10" s="32"/>
      <c r="K10" s="33" t="str">
        <f>"55,0"</f>
        <v>55,0</v>
      </c>
      <c r="L10" s="34" t="str">
        <f>"36,6245"</f>
        <v>36,6245</v>
      </c>
      <c r="M10" s="29" t="s">
        <v>61</v>
      </c>
    </row>
    <row r="11" spans="1:14" x14ac:dyDescent="0.2">
      <c r="A11" s="23" t="s">
        <v>423</v>
      </c>
      <c r="B11" s="23" t="s">
        <v>424</v>
      </c>
      <c r="C11" s="23" t="s">
        <v>425</v>
      </c>
      <c r="D11" s="24" t="str">
        <f>"0,6701"</f>
        <v>0,6701</v>
      </c>
      <c r="E11" s="23" t="s">
        <v>133</v>
      </c>
      <c r="F11" s="23" t="s">
        <v>134</v>
      </c>
      <c r="G11" s="26" t="s">
        <v>56</v>
      </c>
      <c r="H11" s="25" t="s">
        <v>57</v>
      </c>
      <c r="I11" s="25" t="s">
        <v>57</v>
      </c>
      <c r="J11" s="25"/>
      <c r="K11" s="27" t="str">
        <f>"50,0"</f>
        <v>50,0</v>
      </c>
      <c r="L11" s="28" t="str">
        <f>"33,5050"</f>
        <v>33,5050</v>
      </c>
      <c r="M11" s="23" t="s">
        <v>139</v>
      </c>
    </row>
    <row r="13" spans="1:14" ht="15" x14ac:dyDescent="0.2">
      <c r="A13" s="78" t="s">
        <v>140</v>
      </c>
      <c r="B13" s="78"/>
      <c r="C13" s="78"/>
      <c r="D13" s="79"/>
      <c r="E13" s="78"/>
      <c r="F13" s="78"/>
      <c r="G13" s="78"/>
      <c r="H13" s="78"/>
      <c r="I13" s="78"/>
      <c r="J13" s="78"/>
    </row>
    <row r="14" spans="1:14" x14ac:dyDescent="0.2">
      <c r="A14" s="17" t="s">
        <v>411</v>
      </c>
      <c r="B14" s="17" t="s">
        <v>412</v>
      </c>
      <c r="C14" s="17" t="s">
        <v>413</v>
      </c>
      <c r="D14" s="18" t="str">
        <f>"0,6235"</f>
        <v>0,6235</v>
      </c>
      <c r="E14" s="17" t="s">
        <v>232</v>
      </c>
      <c r="F14" s="17" t="s">
        <v>44</v>
      </c>
      <c r="G14" s="20" t="s">
        <v>29</v>
      </c>
      <c r="H14" s="20" t="s">
        <v>30</v>
      </c>
      <c r="I14" s="46" t="s">
        <v>68</v>
      </c>
      <c r="J14" s="19"/>
      <c r="K14" s="47" t="str">
        <f>"70,0"</f>
        <v>70,0</v>
      </c>
      <c r="L14" s="22" t="str">
        <f>"66,9951"</f>
        <v>66,9951</v>
      </c>
      <c r="M14" s="17" t="s">
        <v>139</v>
      </c>
      <c r="N14" s="3" t="s">
        <v>450</v>
      </c>
    </row>
    <row r="15" spans="1:14" x14ac:dyDescent="0.2">
      <c r="A15" s="23" t="s">
        <v>427</v>
      </c>
      <c r="B15" s="23" t="s">
        <v>428</v>
      </c>
      <c r="C15" s="23" t="s">
        <v>429</v>
      </c>
      <c r="D15" s="24" t="str">
        <f>"0,6304"</f>
        <v>0,6304</v>
      </c>
      <c r="E15" s="23" t="s">
        <v>43</v>
      </c>
      <c r="F15" s="23" t="s">
        <v>44</v>
      </c>
      <c r="G15" s="26" t="s">
        <v>55</v>
      </c>
      <c r="H15" s="26" t="s">
        <v>56</v>
      </c>
      <c r="I15" s="25" t="s">
        <v>268</v>
      </c>
      <c r="J15" s="25"/>
      <c r="K15" s="27" t="str">
        <f>"50,0"</f>
        <v>50,0</v>
      </c>
      <c r="L15" s="28" t="str">
        <f>"55,3176"</f>
        <v>55,3176</v>
      </c>
      <c r="M15" s="23" t="s">
        <v>49</v>
      </c>
    </row>
    <row r="17" spans="1:5" ht="15" x14ac:dyDescent="0.2">
      <c r="E17" s="9" t="s">
        <v>11</v>
      </c>
    </row>
    <row r="18" spans="1:5" ht="15" x14ac:dyDescent="0.2">
      <c r="E18" s="9" t="s">
        <v>12</v>
      </c>
    </row>
    <row r="19" spans="1:5" ht="15" x14ac:dyDescent="0.2">
      <c r="E19" s="9" t="s">
        <v>13</v>
      </c>
    </row>
    <row r="20" spans="1:5" ht="15" x14ac:dyDescent="0.2">
      <c r="E20" s="9" t="s">
        <v>14</v>
      </c>
    </row>
    <row r="21" spans="1:5" ht="15" x14ac:dyDescent="0.2">
      <c r="E21" s="9" t="s">
        <v>14</v>
      </c>
    </row>
    <row r="22" spans="1:5" ht="15" x14ac:dyDescent="0.2">
      <c r="E22" s="9" t="s">
        <v>15</v>
      </c>
    </row>
    <row r="23" spans="1:5" ht="15" x14ac:dyDescent="0.2">
      <c r="E23" s="9"/>
    </row>
    <row r="25" spans="1:5" ht="18" x14ac:dyDescent="0.25">
      <c r="A25" s="10" t="s">
        <v>16</v>
      </c>
      <c r="B25" s="10"/>
    </row>
    <row r="26" spans="1:5" ht="15" x14ac:dyDescent="0.2">
      <c r="A26" s="35" t="s">
        <v>213</v>
      </c>
      <c r="B26" s="35"/>
    </row>
    <row r="27" spans="1:5" ht="14.25" x14ac:dyDescent="0.2">
      <c r="A27" s="37"/>
      <c r="B27" s="38" t="s">
        <v>214</v>
      </c>
    </row>
    <row r="28" spans="1:5" ht="15" x14ac:dyDescent="0.2">
      <c r="A28" s="39" t="s">
        <v>197</v>
      </c>
      <c r="B28" s="39" t="s">
        <v>198</v>
      </c>
      <c r="C28" s="39" t="s">
        <v>199</v>
      </c>
      <c r="D28" s="40" t="s">
        <v>247</v>
      </c>
      <c r="E28" s="39" t="s">
        <v>201</v>
      </c>
    </row>
    <row r="29" spans="1:5" x14ac:dyDescent="0.2">
      <c r="A29" s="36" t="s">
        <v>371</v>
      </c>
      <c r="B29" s="4" t="s">
        <v>383</v>
      </c>
      <c r="C29" s="4" t="s">
        <v>207</v>
      </c>
      <c r="D29" s="41">
        <v>45</v>
      </c>
      <c r="E29" s="42">
        <v>40.197058975696599</v>
      </c>
    </row>
    <row r="31" spans="1:5" ht="14.25" x14ac:dyDescent="0.2">
      <c r="A31" s="37"/>
      <c r="B31" s="38" t="s">
        <v>206</v>
      </c>
    </row>
    <row r="32" spans="1:5" ht="15" x14ac:dyDescent="0.2">
      <c r="A32" s="39" t="s">
        <v>197</v>
      </c>
      <c r="B32" s="39" t="s">
        <v>198</v>
      </c>
      <c r="C32" s="39" t="s">
        <v>199</v>
      </c>
      <c r="D32" s="40" t="s">
        <v>247</v>
      </c>
      <c r="E32" s="39" t="s">
        <v>201</v>
      </c>
    </row>
    <row r="33" spans="1:5" x14ac:dyDescent="0.2">
      <c r="A33" s="36" t="s">
        <v>354</v>
      </c>
      <c r="B33" s="4" t="s">
        <v>206</v>
      </c>
      <c r="C33" s="4" t="s">
        <v>212</v>
      </c>
      <c r="D33" s="41">
        <v>60</v>
      </c>
      <c r="E33" s="42">
        <v>40.8060014247894</v>
      </c>
    </row>
    <row r="34" spans="1:5" x14ac:dyDescent="0.2">
      <c r="A34" s="36" t="s">
        <v>375</v>
      </c>
      <c r="B34" s="4" t="s">
        <v>206</v>
      </c>
      <c r="C34" s="4" t="s">
        <v>212</v>
      </c>
      <c r="D34" s="41">
        <v>55</v>
      </c>
      <c r="E34" s="42">
        <v>36.624499559402501</v>
      </c>
    </row>
    <row r="35" spans="1:5" x14ac:dyDescent="0.2">
      <c r="A35" s="36" t="s">
        <v>422</v>
      </c>
      <c r="B35" s="4" t="s">
        <v>206</v>
      </c>
      <c r="C35" s="4" t="s">
        <v>212</v>
      </c>
      <c r="D35" s="41">
        <v>50</v>
      </c>
      <c r="E35" s="42">
        <v>33.504998683929401</v>
      </c>
    </row>
    <row r="37" spans="1:5" ht="14.25" x14ac:dyDescent="0.2">
      <c r="A37" s="37"/>
      <c r="B37" s="38" t="s">
        <v>209</v>
      </c>
    </row>
    <row r="38" spans="1:5" ht="15" x14ac:dyDescent="0.2">
      <c r="A38" s="39" t="s">
        <v>197</v>
      </c>
      <c r="B38" s="39" t="s">
        <v>198</v>
      </c>
      <c r="C38" s="39" t="s">
        <v>199</v>
      </c>
      <c r="D38" s="40" t="s">
        <v>247</v>
      </c>
      <c r="E38" s="39" t="s">
        <v>201</v>
      </c>
    </row>
    <row r="39" spans="1:5" x14ac:dyDescent="0.2">
      <c r="A39" s="36" t="s">
        <v>410</v>
      </c>
      <c r="B39" s="4" t="s">
        <v>241</v>
      </c>
      <c r="C39" s="4" t="s">
        <v>216</v>
      </c>
      <c r="D39" s="41">
        <v>70</v>
      </c>
      <c r="E39" s="42">
        <v>66.995073872804596</v>
      </c>
    </row>
    <row r="40" spans="1:5" x14ac:dyDescent="0.2">
      <c r="A40" s="36" t="s">
        <v>426</v>
      </c>
      <c r="B40" s="4" t="s">
        <v>430</v>
      </c>
      <c r="C40" s="4" t="s">
        <v>216</v>
      </c>
      <c r="D40" s="41">
        <v>50</v>
      </c>
      <c r="E40" s="42">
        <v>55.317600175738299</v>
      </c>
    </row>
  </sheetData>
  <mergeCells count="14">
    <mergeCell ref="A8:J8"/>
    <mergeCell ref="A13:J1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C1" workbookViewId="0">
      <selection activeCell="R9" sqref="R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6" bestFit="1" customWidth="1"/>
    <col min="16" max="16" width="8.5703125" style="7" bestFit="1" customWidth="1"/>
    <col min="17" max="17" width="27.5703125" style="4" bestFit="1" customWidth="1"/>
    <col min="18" max="16384" width="9.140625" style="3"/>
  </cols>
  <sheetData>
    <row r="1" spans="1:18" s="2" customFormat="1" ht="29.1" customHeight="1" x14ac:dyDescent="0.2">
      <c r="A1" s="62" t="s">
        <v>417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8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8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4" t="s">
        <v>21</v>
      </c>
      <c r="L3" s="74"/>
      <c r="M3" s="74"/>
      <c r="N3" s="74"/>
      <c r="O3" s="72" t="s">
        <v>1</v>
      </c>
      <c r="P3" s="72" t="s">
        <v>3</v>
      </c>
      <c r="Q3" s="75" t="s">
        <v>2</v>
      </c>
    </row>
    <row r="4" spans="1:18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8">
        <v>1</v>
      </c>
      <c r="L4" s="8">
        <v>2</v>
      </c>
      <c r="M4" s="8">
        <v>3</v>
      </c>
      <c r="N4" s="8" t="s">
        <v>5</v>
      </c>
      <c r="O4" s="73"/>
      <c r="P4" s="73"/>
      <c r="Q4" s="76"/>
    </row>
    <row r="5" spans="1:18" ht="15" x14ac:dyDescent="0.2">
      <c r="A5" s="60" t="s">
        <v>328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8" x14ac:dyDescent="0.2">
      <c r="A6" s="11" t="s">
        <v>345</v>
      </c>
      <c r="B6" s="11" t="s">
        <v>346</v>
      </c>
      <c r="C6" s="11" t="s">
        <v>347</v>
      </c>
      <c r="D6" s="12" t="str">
        <f>"0,5701"</f>
        <v>0,5701</v>
      </c>
      <c r="E6" s="11" t="s">
        <v>133</v>
      </c>
      <c r="F6" s="11" t="s">
        <v>134</v>
      </c>
      <c r="G6" s="13" t="s">
        <v>325</v>
      </c>
      <c r="H6" s="44" t="s">
        <v>300</v>
      </c>
      <c r="I6" s="14" t="s">
        <v>115</v>
      </c>
      <c r="J6" s="14"/>
      <c r="K6" s="13" t="s">
        <v>117</v>
      </c>
      <c r="L6" s="44" t="s">
        <v>233</v>
      </c>
      <c r="M6" s="14" t="s">
        <v>189</v>
      </c>
      <c r="N6" s="14"/>
      <c r="O6" s="45" t="str">
        <f>"367,5"</f>
        <v>367,5</v>
      </c>
      <c r="P6" s="16" t="str">
        <f>"234,0246"</f>
        <v>234,0246</v>
      </c>
      <c r="Q6" s="11" t="s">
        <v>348</v>
      </c>
      <c r="R6" s="3" t="s">
        <v>450</v>
      </c>
    </row>
    <row r="8" spans="1:18" ht="15" x14ac:dyDescent="0.2">
      <c r="A8" s="78" t="s">
        <v>165</v>
      </c>
      <c r="B8" s="78"/>
      <c r="C8" s="78"/>
      <c r="D8" s="79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8" x14ac:dyDescent="0.2">
      <c r="A9" s="11" t="s">
        <v>235</v>
      </c>
      <c r="B9" s="11" t="s">
        <v>236</v>
      </c>
      <c r="C9" s="11" t="s">
        <v>237</v>
      </c>
      <c r="D9" s="12" t="str">
        <f>"0,5480"</f>
        <v>0,5480</v>
      </c>
      <c r="E9" s="11" t="s">
        <v>43</v>
      </c>
      <c r="F9" s="11" t="s">
        <v>44</v>
      </c>
      <c r="G9" s="44" t="s">
        <v>126</v>
      </c>
      <c r="H9" s="14" t="s">
        <v>238</v>
      </c>
      <c r="I9" s="14" t="s">
        <v>238</v>
      </c>
      <c r="J9" s="14"/>
      <c r="K9" s="13" t="s">
        <v>158</v>
      </c>
      <c r="L9" s="13" t="s">
        <v>239</v>
      </c>
      <c r="M9" s="44" t="s">
        <v>192</v>
      </c>
      <c r="N9" s="14"/>
      <c r="O9" s="45" t="str">
        <f>"420,0"</f>
        <v>420,0</v>
      </c>
      <c r="P9" s="16" t="str">
        <f>"230,1600"</f>
        <v>230,1600</v>
      </c>
      <c r="Q9" s="11" t="s">
        <v>49</v>
      </c>
      <c r="R9" s="3" t="s">
        <v>450</v>
      </c>
    </row>
    <row r="11" spans="1:18" ht="15" x14ac:dyDescent="0.2">
      <c r="E11" s="9" t="s">
        <v>11</v>
      </c>
    </row>
    <row r="12" spans="1:18" ht="15" x14ac:dyDescent="0.2">
      <c r="E12" s="9" t="s">
        <v>12</v>
      </c>
    </row>
    <row r="13" spans="1:18" ht="15" x14ac:dyDescent="0.2">
      <c r="E13" s="9" t="s">
        <v>13</v>
      </c>
    </row>
    <row r="14" spans="1:18" ht="15" x14ac:dyDescent="0.2">
      <c r="E14" s="9" t="s">
        <v>14</v>
      </c>
    </row>
    <row r="15" spans="1:18" ht="15" x14ac:dyDescent="0.2">
      <c r="E15" s="9" t="s">
        <v>14</v>
      </c>
    </row>
    <row r="16" spans="1:18" ht="15" x14ac:dyDescent="0.2">
      <c r="E16" s="9" t="s">
        <v>15</v>
      </c>
    </row>
    <row r="17" spans="1:5" ht="15" x14ac:dyDescent="0.2">
      <c r="E17" s="9"/>
    </row>
    <row r="19" spans="1:5" ht="18" x14ac:dyDescent="0.25">
      <c r="A19" s="10" t="s">
        <v>16</v>
      </c>
      <c r="B19" s="10"/>
    </row>
    <row r="20" spans="1:5" ht="15" x14ac:dyDescent="0.2">
      <c r="A20" s="35" t="s">
        <v>213</v>
      </c>
      <c r="B20" s="35"/>
    </row>
    <row r="21" spans="1:5" ht="14.25" x14ac:dyDescent="0.2">
      <c r="A21" s="37"/>
      <c r="B21" s="38" t="s">
        <v>206</v>
      </c>
    </row>
    <row r="22" spans="1:5" ht="15" x14ac:dyDescent="0.2">
      <c r="A22" s="39" t="s">
        <v>197</v>
      </c>
      <c r="B22" s="39" t="s">
        <v>198</v>
      </c>
      <c r="C22" s="39" t="s">
        <v>199</v>
      </c>
      <c r="D22" s="40" t="s">
        <v>200</v>
      </c>
      <c r="E22" s="39" t="s">
        <v>201</v>
      </c>
    </row>
    <row r="23" spans="1:5" x14ac:dyDescent="0.2">
      <c r="A23" s="36" t="s">
        <v>234</v>
      </c>
      <c r="B23" s="4" t="s">
        <v>206</v>
      </c>
      <c r="C23" s="4" t="s">
        <v>217</v>
      </c>
      <c r="D23" s="41">
        <v>420</v>
      </c>
      <c r="E23" s="42">
        <v>230.15999078750599</v>
      </c>
    </row>
    <row r="25" spans="1:5" ht="14.25" x14ac:dyDescent="0.2">
      <c r="A25" s="37"/>
      <c r="B25" s="38" t="s">
        <v>209</v>
      </c>
    </row>
    <row r="26" spans="1:5" ht="15" x14ac:dyDescent="0.2">
      <c r="A26" s="39" t="s">
        <v>197</v>
      </c>
      <c r="B26" s="39" t="s">
        <v>198</v>
      </c>
      <c r="C26" s="39" t="s">
        <v>199</v>
      </c>
      <c r="D26" s="40" t="s">
        <v>200</v>
      </c>
      <c r="E26" s="39" t="s">
        <v>201</v>
      </c>
    </row>
    <row r="27" spans="1:5" x14ac:dyDescent="0.2">
      <c r="A27" s="36" t="s">
        <v>344</v>
      </c>
      <c r="B27" s="4" t="s">
        <v>338</v>
      </c>
      <c r="C27" s="4" t="s">
        <v>341</v>
      </c>
      <c r="D27" s="41">
        <v>367.5</v>
      </c>
      <c r="E27" s="42">
        <v>234.02462862566099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P10" sqref="P1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4.140625" style="4" bestFit="1" customWidth="1"/>
    <col min="7" max="10" width="5.5703125" style="3" customWidth="1"/>
    <col min="11" max="11" width="5" style="3" customWidth="1"/>
    <col min="12" max="12" width="10.42578125" style="3" customWidth="1"/>
    <col min="13" max="13" width="7.85546875" style="6" bestFit="1" customWidth="1"/>
    <col min="14" max="14" width="9.5703125" style="7" bestFit="1" customWidth="1"/>
    <col min="15" max="15" width="26.85546875" style="4" bestFit="1" customWidth="1"/>
    <col min="16" max="16384" width="9.140625" style="3"/>
  </cols>
  <sheetData>
    <row r="1" spans="1:16" s="2" customFormat="1" ht="29.1" customHeight="1" x14ac:dyDescent="0.2">
      <c r="A1" s="62" t="s">
        <v>403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6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6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416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4" t="s">
        <v>404</v>
      </c>
      <c r="L3" s="74"/>
      <c r="M3" s="72" t="s">
        <v>1</v>
      </c>
      <c r="N3" s="72" t="s">
        <v>3</v>
      </c>
      <c r="O3" s="75" t="s">
        <v>2</v>
      </c>
    </row>
    <row r="4" spans="1:16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8" t="s">
        <v>8</v>
      </c>
      <c r="L4" s="8" t="s">
        <v>9</v>
      </c>
      <c r="M4" s="73"/>
      <c r="N4" s="73"/>
      <c r="O4" s="76"/>
    </row>
    <row r="5" spans="1:16" ht="15" x14ac:dyDescent="0.2">
      <c r="A5" s="60" t="s">
        <v>140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6" x14ac:dyDescent="0.2">
      <c r="A6" s="17" t="s">
        <v>406</v>
      </c>
      <c r="B6" s="17" t="s">
        <v>407</v>
      </c>
      <c r="C6" s="17" t="s">
        <v>408</v>
      </c>
      <c r="D6" s="18" t="str">
        <f>"0,6318"</f>
        <v>0,6318</v>
      </c>
      <c r="E6" s="17" t="s">
        <v>43</v>
      </c>
      <c r="F6" s="17" t="s">
        <v>44</v>
      </c>
      <c r="G6" s="20" t="s">
        <v>115</v>
      </c>
      <c r="H6" s="58" t="s">
        <v>314</v>
      </c>
      <c r="I6" s="19" t="s">
        <v>180</v>
      </c>
      <c r="J6" s="19"/>
      <c r="K6" s="20" t="s">
        <v>37</v>
      </c>
      <c r="L6" s="20" t="s">
        <v>409</v>
      </c>
      <c r="M6" s="21" t="str">
        <f>"182,5"</f>
        <v>182,5</v>
      </c>
      <c r="N6" s="22" t="str">
        <f>"1958,5800"</f>
        <v>1958,5800</v>
      </c>
      <c r="O6" s="17" t="s">
        <v>49</v>
      </c>
    </row>
    <row r="7" spans="1:16" x14ac:dyDescent="0.2">
      <c r="A7" s="23" t="s">
        <v>411</v>
      </c>
      <c r="B7" s="23" t="s">
        <v>412</v>
      </c>
      <c r="C7" s="23" t="s">
        <v>413</v>
      </c>
      <c r="D7" s="24" t="str">
        <f>"0,6235"</f>
        <v>0,6235</v>
      </c>
      <c r="E7" s="23" t="s">
        <v>232</v>
      </c>
      <c r="F7" s="23" t="s">
        <v>44</v>
      </c>
      <c r="G7" s="26" t="s">
        <v>90</v>
      </c>
      <c r="H7" s="26" t="s">
        <v>114</v>
      </c>
      <c r="I7" s="50" t="s">
        <v>325</v>
      </c>
      <c r="J7" s="25"/>
      <c r="K7" s="26" t="s">
        <v>37</v>
      </c>
      <c r="L7" s="55" t="s">
        <v>414</v>
      </c>
      <c r="M7" s="56" t="str">
        <f>"167,5"</f>
        <v>167,5</v>
      </c>
      <c r="N7" s="28" t="str">
        <f>"1776,9750"</f>
        <v>1776,9750</v>
      </c>
      <c r="O7" s="23" t="s">
        <v>139</v>
      </c>
      <c r="P7" s="3" t="s">
        <v>451</v>
      </c>
    </row>
    <row r="8" spans="1:16" x14ac:dyDescent="0.2">
      <c r="P8" s="3" t="s">
        <v>450</v>
      </c>
    </row>
    <row r="9" spans="1:16" ht="15" x14ac:dyDescent="0.2">
      <c r="A9" s="78" t="s">
        <v>146</v>
      </c>
      <c r="B9" s="78"/>
      <c r="C9" s="78"/>
      <c r="D9" s="79"/>
      <c r="E9" s="78"/>
      <c r="F9" s="78"/>
      <c r="G9" s="78"/>
      <c r="H9" s="78"/>
      <c r="I9" s="78"/>
      <c r="J9" s="78"/>
      <c r="K9" s="78"/>
      <c r="L9" s="78"/>
    </row>
    <row r="10" spans="1:16" x14ac:dyDescent="0.2">
      <c r="A10" s="11" t="s">
        <v>311</v>
      </c>
      <c r="B10" s="11" t="s">
        <v>312</v>
      </c>
      <c r="C10" s="11" t="s">
        <v>313</v>
      </c>
      <c r="D10" s="12" t="str">
        <f>"0,5935"</f>
        <v>0,5935</v>
      </c>
      <c r="E10" s="11" t="s">
        <v>96</v>
      </c>
      <c r="F10" s="11" t="s">
        <v>28</v>
      </c>
      <c r="G10" s="13" t="s">
        <v>123</v>
      </c>
      <c r="H10" s="13" t="s">
        <v>115</v>
      </c>
      <c r="I10" s="53" t="s">
        <v>314</v>
      </c>
      <c r="J10" s="14" t="s">
        <v>126</v>
      </c>
      <c r="K10" s="13" t="s">
        <v>37</v>
      </c>
      <c r="L10" s="53" t="s">
        <v>315</v>
      </c>
      <c r="M10" s="54" t="str">
        <f>"182,5"</f>
        <v>182,5</v>
      </c>
      <c r="N10" s="16" t="str">
        <f>"1839,8501"</f>
        <v>1839,8501</v>
      </c>
      <c r="O10" s="11" t="s">
        <v>99</v>
      </c>
      <c r="P10" s="3" t="s">
        <v>451</v>
      </c>
    </row>
    <row r="12" spans="1:16" ht="15" x14ac:dyDescent="0.2">
      <c r="E12" s="9" t="s">
        <v>11</v>
      </c>
    </row>
    <row r="13" spans="1:16" ht="15" x14ac:dyDescent="0.2">
      <c r="E13" s="9" t="s">
        <v>12</v>
      </c>
    </row>
    <row r="14" spans="1:16" ht="15" x14ac:dyDescent="0.2">
      <c r="E14" s="9" t="s">
        <v>13</v>
      </c>
    </row>
    <row r="15" spans="1:16" ht="15" x14ac:dyDescent="0.2">
      <c r="E15" s="9" t="s">
        <v>14</v>
      </c>
    </row>
    <row r="16" spans="1:16" ht="15" x14ac:dyDescent="0.2">
      <c r="E16" s="9" t="s">
        <v>14</v>
      </c>
    </row>
    <row r="17" spans="1:5" ht="15" x14ac:dyDescent="0.2">
      <c r="E17" s="9" t="s">
        <v>15</v>
      </c>
    </row>
    <row r="18" spans="1:5" ht="15" x14ac:dyDescent="0.2">
      <c r="E18" s="9"/>
    </row>
    <row r="20" spans="1:5" ht="18" x14ac:dyDescent="0.25">
      <c r="A20" s="10" t="s">
        <v>16</v>
      </c>
      <c r="B20" s="10"/>
    </row>
    <row r="21" spans="1:5" ht="15" x14ac:dyDescent="0.2">
      <c r="A21" s="35" t="s">
        <v>213</v>
      </c>
      <c r="B21" s="35"/>
    </row>
    <row r="22" spans="1:5" ht="14.25" x14ac:dyDescent="0.2">
      <c r="A22" s="37"/>
      <c r="B22" s="38" t="s">
        <v>339</v>
      </c>
    </row>
    <row r="23" spans="1:5" ht="15" x14ac:dyDescent="0.2">
      <c r="A23" s="39" t="s">
        <v>197</v>
      </c>
      <c r="B23" s="39" t="s">
        <v>198</v>
      </c>
      <c r="C23" s="39" t="s">
        <v>199</v>
      </c>
      <c r="D23" s="40" t="s">
        <v>200</v>
      </c>
      <c r="E23" s="39" t="s">
        <v>415</v>
      </c>
    </row>
    <row r="24" spans="1:5" x14ac:dyDescent="0.2">
      <c r="A24" s="36" t="s">
        <v>310</v>
      </c>
      <c r="B24" s="4" t="s">
        <v>340</v>
      </c>
      <c r="C24" s="4" t="s">
        <v>218</v>
      </c>
      <c r="D24" s="41">
        <v>182.5</v>
      </c>
      <c r="E24" s="42">
        <v>1839.85005617142</v>
      </c>
    </row>
    <row r="26" spans="1:5" ht="14.25" x14ac:dyDescent="0.2">
      <c r="A26" s="37"/>
      <c r="B26" s="38" t="s">
        <v>206</v>
      </c>
    </row>
    <row r="27" spans="1:5" ht="15" x14ac:dyDescent="0.2">
      <c r="A27" s="39" t="s">
        <v>197</v>
      </c>
      <c r="B27" s="39" t="s">
        <v>198</v>
      </c>
      <c r="C27" s="39" t="s">
        <v>199</v>
      </c>
      <c r="D27" s="40" t="s">
        <v>200</v>
      </c>
      <c r="E27" s="39" t="s">
        <v>415</v>
      </c>
    </row>
    <row r="28" spans="1:5" x14ac:dyDescent="0.2">
      <c r="A28" s="36" t="s">
        <v>405</v>
      </c>
      <c r="B28" s="4" t="s">
        <v>206</v>
      </c>
      <c r="C28" s="4" t="s">
        <v>216</v>
      </c>
      <c r="D28" s="41">
        <v>182.5</v>
      </c>
      <c r="E28" s="42">
        <v>1958.57998728752</v>
      </c>
    </row>
    <row r="30" spans="1:5" ht="14.25" x14ac:dyDescent="0.2">
      <c r="A30" s="37"/>
      <c r="B30" s="38" t="s">
        <v>209</v>
      </c>
    </row>
    <row r="31" spans="1:5" ht="15" x14ac:dyDescent="0.2">
      <c r="A31" s="39" t="s">
        <v>197</v>
      </c>
      <c r="B31" s="39" t="s">
        <v>198</v>
      </c>
      <c r="C31" s="39" t="s">
        <v>199</v>
      </c>
      <c r="D31" s="40" t="s">
        <v>200</v>
      </c>
      <c r="E31" s="39" t="s">
        <v>415</v>
      </c>
    </row>
    <row r="32" spans="1:5" x14ac:dyDescent="0.2">
      <c r="A32" s="36" t="s">
        <v>410</v>
      </c>
      <c r="B32" s="4" t="s">
        <v>241</v>
      </c>
      <c r="C32" s="4" t="s">
        <v>216</v>
      </c>
      <c r="D32" s="41">
        <v>167.5</v>
      </c>
      <c r="E32" s="42">
        <v>1776.97497010231</v>
      </c>
    </row>
  </sheetData>
  <mergeCells count="14">
    <mergeCell ref="A9:L9"/>
    <mergeCell ref="K3:L3"/>
    <mergeCell ref="M3:M4"/>
    <mergeCell ref="N3:N4"/>
    <mergeCell ref="O3:O4"/>
    <mergeCell ref="A5:L5"/>
    <mergeCell ref="A1:O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C1" workbookViewId="0">
      <selection activeCell="Q37" sqref="Q3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6" bestFit="1" customWidth="1"/>
    <col min="16" max="16" width="8.5703125" style="7" bestFit="1" customWidth="1"/>
    <col min="17" max="17" width="19.85546875" style="4" bestFit="1" customWidth="1"/>
    <col min="18" max="16384" width="9.140625" style="3"/>
  </cols>
  <sheetData>
    <row r="1" spans="1:18" s="2" customFormat="1" ht="29.1" customHeight="1" x14ac:dyDescent="0.2">
      <c r="A1" s="62" t="s">
        <v>395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8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8" s="1" customFormat="1" ht="12.75" customHeight="1" x14ac:dyDescent="0.2">
      <c r="A3" s="68" t="s">
        <v>0</v>
      </c>
      <c r="B3" s="70" t="s">
        <v>6</v>
      </c>
      <c r="C3" s="70" t="s">
        <v>10</v>
      </c>
      <c r="D3" s="72" t="s">
        <v>18</v>
      </c>
      <c r="E3" s="74" t="s">
        <v>4</v>
      </c>
      <c r="F3" s="74" t="s">
        <v>7</v>
      </c>
      <c r="G3" s="74" t="s">
        <v>20</v>
      </c>
      <c r="H3" s="74"/>
      <c r="I3" s="74"/>
      <c r="J3" s="74"/>
      <c r="K3" s="74" t="s">
        <v>21</v>
      </c>
      <c r="L3" s="74"/>
      <c r="M3" s="74"/>
      <c r="N3" s="74"/>
      <c r="O3" s="72" t="s">
        <v>1</v>
      </c>
      <c r="P3" s="72" t="s">
        <v>3</v>
      </c>
      <c r="Q3" s="75" t="s">
        <v>2</v>
      </c>
    </row>
    <row r="4" spans="1:18" s="1" customFormat="1" ht="21" customHeight="1" thickBot="1" x14ac:dyDescent="0.25">
      <c r="A4" s="69"/>
      <c r="B4" s="71"/>
      <c r="C4" s="71"/>
      <c r="D4" s="73"/>
      <c r="E4" s="71"/>
      <c r="F4" s="71"/>
      <c r="G4" s="8">
        <v>1</v>
      </c>
      <c r="H4" s="8">
        <v>2</v>
      </c>
      <c r="I4" s="8">
        <v>3</v>
      </c>
      <c r="J4" s="8" t="s">
        <v>5</v>
      </c>
      <c r="K4" s="8">
        <v>1</v>
      </c>
      <c r="L4" s="8">
        <v>2</v>
      </c>
      <c r="M4" s="8">
        <v>3</v>
      </c>
      <c r="N4" s="8" t="s">
        <v>5</v>
      </c>
      <c r="O4" s="73"/>
      <c r="P4" s="73"/>
      <c r="Q4" s="76"/>
    </row>
    <row r="5" spans="1:18" ht="15" x14ac:dyDescent="0.2">
      <c r="A5" s="60" t="s">
        <v>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8" x14ac:dyDescent="0.2">
      <c r="A6" s="11" t="s">
        <v>397</v>
      </c>
      <c r="B6" s="11" t="s">
        <v>398</v>
      </c>
      <c r="C6" s="11" t="s">
        <v>399</v>
      </c>
      <c r="D6" s="12" t="str">
        <f>"0,9739"</f>
        <v>0,9739</v>
      </c>
      <c r="E6" s="11" t="s">
        <v>54</v>
      </c>
      <c r="F6" s="11" t="s">
        <v>28</v>
      </c>
      <c r="G6" s="13" t="s">
        <v>57</v>
      </c>
      <c r="H6" s="13" t="s">
        <v>254</v>
      </c>
      <c r="I6" s="14" t="s">
        <v>29</v>
      </c>
      <c r="J6" s="14"/>
      <c r="K6" s="13" t="s">
        <v>45</v>
      </c>
      <c r="L6" s="14" t="s">
        <v>145</v>
      </c>
      <c r="M6" s="14" t="s">
        <v>145</v>
      </c>
      <c r="N6" s="14"/>
      <c r="O6" s="15" t="str">
        <f>"167,5"</f>
        <v>167,5</v>
      </c>
      <c r="P6" s="16" t="str">
        <f>"321,3627"</f>
        <v>321,3627</v>
      </c>
      <c r="Q6" s="11" t="s">
        <v>183</v>
      </c>
    </row>
    <row r="8" spans="1:18" ht="15" x14ac:dyDescent="0.2">
      <c r="A8" s="78" t="s">
        <v>100</v>
      </c>
      <c r="B8" s="78"/>
      <c r="C8" s="78"/>
      <c r="D8" s="79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8" x14ac:dyDescent="0.2">
      <c r="A9" s="11" t="s">
        <v>130</v>
      </c>
      <c r="B9" s="11" t="s">
        <v>131</v>
      </c>
      <c r="C9" s="11" t="s">
        <v>132</v>
      </c>
      <c r="D9" s="12" t="str">
        <f>"0,6662"</f>
        <v>0,6662</v>
      </c>
      <c r="E9" s="11" t="s">
        <v>133</v>
      </c>
      <c r="F9" s="11" t="s">
        <v>134</v>
      </c>
      <c r="G9" s="13" t="s">
        <v>114</v>
      </c>
      <c r="H9" s="53" t="s">
        <v>115</v>
      </c>
      <c r="I9" s="14"/>
      <c r="J9" s="14"/>
      <c r="K9" s="13" t="s">
        <v>137</v>
      </c>
      <c r="L9" s="44" t="s">
        <v>138</v>
      </c>
      <c r="M9" s="14"/>
      <c r="N9" s="14"/>
      <c r="O9" s="45" t="str">
        <f>"355,0"</f>
        <v>355,0</v>
      </c>
      <c r="P9" s="16" t="str">
        <f>"236,5187"</f>
        <v>236,5187</v>
      </c>
      <c r="Q9" s="11" t="s">
        <v>139</v>
      </c>
      <c r="R9" s="3" t="s">
        <v>451</v>
      </c>
    </row>
    <row r="10" spans="1:18" x14ac:dyDescent="0.2">
      <c r="R10" s="3" t="s">
        <v>450</v>
      </c>
    </row>
    <row r="11" spans="1:18" ht="15" x14ac:dyDescent="0.2">
      <c r="A11" s="78" t="s">
        <v>146</v>
      </c>
      <c r="B11" s="78"/>
      <c r="C11" s="78"/>
      <c r="D11" s="79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18" x14ac:dyDescent="0.2">
      <c r="A12" s="11" t="s">
        <v>400</v>
      </c>
      <c r="B12" s="11" t="s">
        <v>401</v>
      </c>
      <c r="C12" s="11" t="s">
        <v>323</v>
      </c>
      <c r="D12" s="12" t="str">
        <f>"0,5910"</f>
        <v>0,5910</v>
      </c>
      <c r="E12" s="11" t="s">
        <v>133</v>
      </c>
      <c r="F12" s="11" t="s">
        <v>324</v>
      </c>
      <c r="G12" s="13" t="s">
        <v>325</v>
      </c>
      <c r="H12" s="14" t="s">
        <v>326</v>
      </c>
      <c r="I12" s="44" t="s">
        <v>326</v>
      </c>
      <c r="J12" s="14"/>
      <c r="K12" s="13" t="s">
        <v>90</v>
      </c>
      <c r="L12" s="44" t="s">
        <v>123</v>
      </c>
      <c r="M12" s="14" t="s">
        <v>314</v>
      </c>
      <c r="N12" s="14"/>
      <c r="O12" s="45" t="str">
        <f>"297,5"</f>
        <v>297,5</v>
      </c>
      <c r="P12" s="16" t="str">
        <f>"191,9982"</f>
        <v>191,9982</v>
      </c>
      <c r="Q12" s="11" t="s">
        <v>139</v>
      </c>
      <c r="R12" s="3" t="s">
        <v>450</v>
      </c>
    </row>
    <row r="14" spans="1:18" ht="15" x14ac:dyDescent="0.2">
      <c r="E14" s="9" t="s">
        <v>11</v>
      </c>
    </row>
    <row r="15" spans="1:18" ht="15" x14ac:dyDescent="0.2">
      <c r="E15" s="9" t="s">
        <v>12</v>
      </c>
    </row>
    <row r="16" spans="1:18" ht="15" x14ac:dyDescent="0.2">
      <c r="E16" s="9" t="s">
        <v>13</v>
      </c>
    </row>
    <row r="17" spans="1:5" ht="15" x14ac:dyDescent="0.2">
      <c r="E17" s="9" t="s">
        <v>14</v>
      </c>
    </row>
    <row r="18" spans="1:5" ht="15" x14ac:dyDescent="0.2">
      <c r="E18" s="9" t="s">
        <v>14</v>
      </c>
    </row>
    <row r="19" spans="1:5" ht="15" x14ac:dyDescent="0.2">
      <c r="E19" s="9" t="s">
        <v>15</v>
      </c>
    </row>
    <row r="20" spans="1:5" ht="15" x14ac:dyDescent="0.2">
      <c r="E20" s="9"/>
    </row>
    <row r="22" spans="1:5" ht="18" x14ac:dyDescent="0.25">
      <c r="A22" s="10" t="s">
        <v>16</v>
      </c>
      <c r="B22" s="10"/>
    </row>
    <row r="23" spans="1:5" ht="15" x14ac:dyDescent="0.2">
      <c r="A23" s="35" t="s">
        <v>195</v>
      </c>
      <c r="B23" s="35"/>
    </row>
    <row r="24" spans="1:5" ht="14.25" x14ac:dyDescent="0.2">
      <c r="A24" s="37"/>
      <c r="B24" s="38" t="s">
        <v>209</v>
      </c>
    </row>
    <row r="25" spans="1:5" ht="15" x14ac:dyDescent="0.2">
      <c r="A25" s="39" t="s">
        <v>197</v>
      </c>
      <c r="B25" s="39" t="s">
        <v>198</v>
      </c>
      <c r="C25" s="39" t="s">
        <v>199</v>
      </c>
      <c r="D25" s="40" t="s">
        <v>200</v>
      </c>
      <c r="E25" s="39" t="s">
        <v>201</v>
      </c>
    </row>
    <row r="26" spans="1:5" x14ac:dyDescent="0.2">
      <c r="A26" s="36" t="s">
        <v>396</v>
      </c>
      <c r="B26" s="4" t="s">
        <v>402</v>
      </c>
      <c r="C26" s="4" t="s">
        <v>208</v>
      </c>
      <c r="D26" s="41">
        <v>167.5</v>
      </c>
      <c r="E26" s="42">
        <v>321.362659139931</v>
      </c>
    </row>
    <row r="29" spans="1:5" ht="15" x14ac:dyDescent="0.2">
      <c r="A29" s="35" t="s">
        <v>213</v>
      </c>
      <c r="B29" s="35"/>
    </row>
    <row r="30" spans="1:5" ht="14.25" x14ac:dyDescent="0.2">
      <c r="A30" s="37"/>
      <c r="B30" s="38" t="s">
        <v>206</v>
      </c>
    </row>
    <row r="31" spans="1:5" ht="15" x14ac:dyDescent="0.2">
      <c r="A31" s="39" t="s">
        <v>197</v>
      </c>
      <c r="B31" s="39" t="s">
        <v>198</v>
      </c>
      <c r="C31" s="39" t="s">
        <v>199</v>
      </c>
      <c r="D31" s="40" t="s">
        <v>200</v>
      </c>
      <c r="E31" s="39" t="s">
        <v>201</v>
      </c>
    </row>
    <row r="32" spans="1:5" x14ac:dyDescent="0.2">
      <c r="A32" s="36" t="s">
        <v>129</v>
      </c>
      <c r="B32" s="4" t="s">
        <v>206</v>
      </c>
      <c r="C32" s="4" t="s">
        <v>212</v>
      </c>
      <c r="D32" s="41">
        <v>355</v>
      </c>
      <c r="E32" s="42">
        <v>236.51874661445601</v>
      </c>
    </row>
    <row r="34" spans="1:5" ht="14.25" x14ac:dyDescent="0.2">
      <c r="A34" s="37"/>
      <c r="B34" s="38" t="s">
        <v>209</v>
      </c>
    </row>
    <row r="35" spans="1:5" ht="15" x14ac:dyDescent="0.2">
      <c r="A35" s="39" t="s">
        <v>197</v>
      </c>
      <c r="B35" s="39" t="s">
        <v>198</v>
      </c>
      <c r="C35" s="39" t="s">
        <v>199</v>
      </c>
      <c r="D35" s="40" t="s">
        <v>200</v>
      </c>
      <c r="E35" s="39" t="s">
        <v>201</v>
      </c>
    </row>
    <row r="36" spans="1:5" x14ac:dyDescent="0.2">
      <c r="A36" s="36" t="s">
        <v>320</v>
      </c>
      <c r="B36" s="4" t="s">
        <v>338</v>
      </c>
      <c r="C36" s="4" t="s">
        <v>218</v>
      </c>
      <c r="D36" s="41">
        <v>297.5</v>
      </c>
      <c r="E36" s="42">
        <v>191.99817666113401</v>
      </c>
    </row>
  </sheetData>
  <mergeCells count="15">
    <mergeCell ref="A8:N8"/>
    <mergeCell ref="A11:N11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Люб. становая тяга</vt:lpstr>
      <vt:lpstr>Люб. Русская становая тяга 75кг</vt:lpstr>
      <vt:lpstr>Люб. народный жим 1_2 вес</vt:lpstr>
      <vt:lpstr>Люб. народный жим 1 вес</vt:lpstr>
      <vt:lpstr>Бицепс Профессионалы</vt:lpstr>
      <vt:lpstr>Бицепс Любители</vt:lpstr>
      <vt:lpstr>Двоеборье проф.</vt:lpstr>
      <vt:lpstr>Люб. ЖД</vt:lpstr>
      <vt:lpstr>Двоеборье люб</vt:lpstr>
      <vt:lpstr>Люб. присед софт экип.</vt:lpstr>
      <vt:lpstr>Люб. присед б.э.</vt:lpstr>
      <vt:lpstr>ПРО тяга б.э.</vt:lpstr>
      <vt:lpstr>Люб. тяга б.э.</vt:lpstr>
      <vt:lpstr>ПРО жим софт мн.петельная</vt:lpstr>
      <vt:lpstr>Люб. жим 1 петельная</vt:lpstr>
      <vt:lpstr>ПРО жим б.э.</vt:lpstr>
      <vt:lpstr>Люб. жим б.э.</vt:lpstr>
      <vt:lpstr>СОВ жим</vt:lpstr>
      <vt:lpstr>Люб. Военный жим класс.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2022-10-17T17:16:01Z</dcterms:modified>
</cp:coreProperties>
</file>